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20" windowHeight="5370" firstSheet="1" activeTab="1"/>
  </bookViews>
  <sheets>
    <sheet name="金額" sheetId="1" state="hidden" r:id="rId1"/>
    <sheet name="集合住宅" sheetId="2" r:id="rId2"/>
    <sheet name="新基準料金" sheetId="3" state="hidden" r:id="rId3"/>
    <sheet name="基準料金" sheetId="4" state="hidden" r:id="rId4"/>
  </sheets>
  <definedNames>
    <definedName name="_xlnm.Print_Area" localSheetId="1">'集合住宅'!$A$1:$G$22</definedName>
  </definedNames>
  <calcPr fullCalcOnLoad="1"/>
</workbook>
</file>

<file path=xl/sharedStrings.xml><?xml version="1.0" encoding="utf-8"?>
<sst xmlns="http://schemas.openxmlformats.org/spreadsheetml/2006/main" count="260" uniqueCount="125">
  <si>
    <t>量水器口径</t>
  </si>
  <si>
    <t>下水量</t>
  </si>
  <si>
    <t>上水量</t>
  </si>
  <si>
    <t>基本料金</t>
  </si>
  <si>
    <t>口径</t>
  </si>
  <si>
    <t>水量</t>
  </si>
  <si>
    <t>円</t>
  </si>
  <si>
    <t>上水料金</t>
  </si>
  <si>
    <t>下水料金</t>
  </si>
  <si>
    <t>合計金額</t>
  </si>
  <si>
    <t>消費税</t>
  </si>
  <si>
    <t>従量料金</t>
  </si>
  <si>
    <t>合計</t>
  </si>
  <si>
    <t>基本料消費税込</t>
  </si>
  <si>
    <t>従量金消費税込</t>
  </si>
  <si>
    <t>上下水道料料金計算</t>
  </si>
  <si>
    <t>1ヶ月計算</t>
  </si>
  <si>
    <t>通常</t>
  </si>
  <si>
    <t>開始日</t>
  </si>
  <si>
    <t>中止日</t>
  </si>
  <si>
    <t>日数</t>
  </si>
  <si>
    <t>結果</t>
  </si>
  <si>
    <t>戸数</t>
  </si>
  <si>
    <t>戸</t>
  </si>
  <si>
    <t>標準</t>
  </si>
  <si>
    <t>1ヶ月</t>
  </si>
  <si>
    <t>集合</t>
  </si>
  <si>
    <t>集合計算</t>
  </si>
  <si>
    <t>②：①×単価</t>
  </si>
  <si>
    <t>①：水量÷全戸数</t>
  </si>
  <si>
    <t>③：②×全戸数</t>
  </si>
  <si>
    <t>④：水量-①×全戸数</t>
  </si>
  <si>
    <t>金額</t>
  </si>
  <si>
    <t>⑤：該当単価</t>
  </si>
  <si>
    <t>金額：基本金額×全戸数+⑦</t>
  </si>
  <si>
    <t>標準下水</t>
  </si>
  <si>
    <t>1ヶ月下水</t>
  </si>
  <si>
    <t>新旧水道料金計算用情報</t>
  </si>
  <si>
    <t>　水道料　　　基本料金</t>
  </si>
  <si>
    <t>旧２ヶ月</t>
  </si>
  <si>
    <t>新２ヶ月</t>
  </si>
  <si>
    <t>旧１ヶ月</t>
  </si>
  <si>
    <t>新１ヶ月</t>
  </si>
  <si>
    <t>13mm</t>
  </si>
  <si>
    <t>20mm</t>
  </si>
  <si>
    <t>25/30mm</t>
  </si>
  <si>
    <t>40mm</t>
  </si>
  <si>
    <t>50mm</t>
  </si>
  <si>
    <t>75mm</t>
  </si>
  <si>
    <t>100mm</t>
  </si>
  <si>
    <t>水量別単価</t>
  </si>
  <si>
    <t>１ヶ月水量</t>
  </si>
  <si>
    <t>２ヶ月水量</t>
  </si>
  <si>
    <t>旧</t>
  </si>
  <si>
    <t>新</t>
  </si>
  <si>
    <t>１ヶ月範囲</t>
  </si>
  <si>
    <t>２か月範囲</t>
  </si>
  <si>
    <t>１～１０</t>
  </si>
  <si>
    <t>１～２０</t>
  </si>
  <si>
    <t>１１～２０</t>
  </si>
  <si>
    <t>２１～４０</t>
  </si>
  <si>
    <t>２１～３０</t>
  </si>
  <si>
    <t>４１～６０</t>
  </si>
  <si>
    <t>３１～５０</t>
  </si>
  <si>
    <t>６１～１００</t>
  </si>
  <si>
    <t>５１～１００</t>
  </si>
  <si>
    <t>１０１～２００</t>
  </si>
  <si>
    <t>１０１～</t>
  </si>
  <si>
    <t>２０１～</t>
  </si>
  <si>
    <t>１ヶ月料金推移</t>
  </si>
  <si>
    <t>旧　単価</t>
  </si>
  <si>
    <t>計算用加算</t>
  </si>
  <si>
    <t>新　単価</t>
  </si>
  <si>
    <t>２ヶ月料金推移</t>
  </si>
  <si>
    <t>　下水道　　　基本料</t>
  </si>
  <si>
    <t>１ヶ月基本</t>
  </si>
  <si>
    <t>２ヶ月基本</t>
  </si>
  <si>
    <t>使用量別単価</t>
  </si>
  <si>
    <t>２１～５０</t>
  </si>
  <si>
    <t>４１～１００</t>
  </si>
  <si>
    <t>５１～</t>
  </si>
  <si>
    <t>特別承認集合住宅　上・下水道料料金計算</t>
  </si>
  <si>
    <t>１～１０</t>
  </si>
  <si>
    <t>１～２０</t>
  </si>
  <si>
    <t>１１～２０</t>
  </si>
  <si>
    <t>２１～４０</t>
  </si>
  <si>
    <t>２１～３０</t>
  </si>
  <si>
    <t>４１～６０</t>
  </si>
  <si>
    <t>３１～５０</t>
  </si>
  <si>
    <t>６１～１００</t>
  </si>
  <si>
    <t>５１～１００</t>
  </si>
  <si>
    <t>１０１～２００</t>
  </si>
  <si>
    <t>１０１～</t>
  </si>
  <si>
    <t>２０１～</t>
  </si>
  <si>
    <t>２１～５０</t>
  </si>
  <si>
    <t>４１～１００</t>
  </si>
  <si>
    <t>５１～</t>
  </si>
  <si>
    <t>単価</t>
  </si>
  <si>
    <t>単価</t>
  </si>
  <si>
    <t>単価</t>
  </si>
  <si>
    <t>２ヶ月</t>
  </si>
  <si>
    <t>新料金計算用情報</t>
  </si>
  <si>
    <t>余り水量の料金</t>
  </si>
  <si>
    <t>全体の従量使用料金</t>
  </si>
  <si>
    <t>全体の基本料金</t>
  </si>
  <si>
    <t>全体の料金</t>
  </si>
  <si>
    <t>水道料金　計算経過</t>
  </si>
  <si>
    <t>　２か月分料金計算結果</t>
  </si>
  <si>
    <t>mm</t>
  </si>
  <si>
    <t>下水道料金　計算経過</t>
  </si>
  <si>
    <t>←料金体系が変わったとき、水色背景の部分を変えてください。</t>
  </si>
  <si>
    <t>⑥：④×⑤</t>
  </si>
  <si>
    <t>⑦：③+⑦</t>
  </si>
  <si>
    <t>ｍｍ</t>
  </si>
  <si>
    <t>ｍｍ</t>
  </si>
  <si>
    <t>-</t>
  </si>
  <si>
    <t></t>
  </si>
  <si>
    <t>平成１４年５月以降対応</t>
  </si>
  <si>
    <t>㎥</t>
  </si>
  <si>
    <t>㎥</t>
  </si>
  <si>
    <t>1戸当たりの計算口径</t>
  </si>
  <si>
    <t>１戸当たりの使用水量</t>
  </si>
  <si>
    <t>１戸当たりの従量使用料金</t>
  </si>
  <si>
    <t>１戸当たりの基本料金</t>
  </si>
  <si>
    <t>１戸当たりの使用量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</si>
</sst>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#\ &quot;円&quot;"/>
    <numFmt numFmtId="178" formatCode="#,##0\&amp;&quot; en&quot;"/>
    <numFmt numFmtId="179" formatCode="#,##0\ &quot;円&quot;"/>
    <numFmt numFmtId="180" formatCode="@\ &quot;～&quot;"/>
    <numFmt numFmtId="181" formatCode="#\ &quot;～&quot;"/>
    <numFmt numFmtId="182" formatCode="#\ \ &quot;～&quot;"/>
    <numFmt numFmtId="183" formatCode="#\ &quot;&quot;"/>
    <numFmt numFmtId="184" formatCode="#\ &quot;mm&quot;"/>
    <numFmt numFmtId="185" formatCode="#,###&quot;円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b/>
      <i/>
      <sz val="20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i/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 applyProtection="1">
      <alignment shrinkToFit="1"/>
      <protection locked="0"/>
    </xf>
    <xf numFmtId="0" fontId="2" fillId="33" borderId="10" xfId="0" applyFont="1" applyFill="1" applyBorder="1" applyAlignment="1">
      <alignment shrinkToFit="1"/>
    </xf>
    <xf numFmtId="0" fontId="2" fillId="33" borderId="11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33" borderId="12" xfId="0" applyFont="1" applyFill="1" applyBorder="1" applyAlignment="1">
      <alignment shrinkToFit="1"/>
    </xf>
    <xf numFmtId="0" fontId="3" fillId="33" borderId="13" xfId="0" applyFont="1" applyFill="1" applyBorder="1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Fill="1" applyBorder="1" applyAlignment="1" applyProtection="1">
      <alignment shrinkToFit="1"/>
      <protection hidden="1"/>
    </xf>
    <xf numFmtId="0" fontId="2" fillId="34" borderId="14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2" fillId="34" borderId="16" xfId="0" applyFont="1" applyFill="1" applyBorder="1" applyAlignment="1">
      <alignment horizontal="center" shrinkToFit="1"/>
    </xf>
    <xf numFmtId="0" fontId="2" fillId="34" borderId="14" xfId="0" applyFont="1" applyFill="1" applyBorder="1" applyAlignment="1" applyProtection="1">
      <alignment shrinkToFit="1"/>
      <protection hidden="1"/>
    </xf>
    <xf numFmtId="0" fontId="2" fillId="34" borderId="14" xfId="0" applyFont="1" applyFill="1" applyBorder="1" applyAlignment="1" applyProtection="1">
      <alignment horizontal="center" shrinkToFit="1"/>
      <protection hidden="1"/>
    </xf>
    <xf numFmtId="0" fontId="3" fillId="34" borderId="14" xfId="0" applyFont="1" applyFill="1" applyBorder="1" applyAlignment="1" applyProtection="1">
      <alignment horizontal="center" shrinkToFit="1"/>
      <protection hidden="1"/>
    </xf>
    <xf numFmtId="56" fontId="2" fillId="35" borderId="14" xfId="0" applyNumberFormat="1" applyFont="1" applyFill="1" applyBorder="1" applyAlignment="1">
      <alignment shrinkToFit="1"/>
    </xf>
    <xf numFmtId="0" fontId="5" fillId="36" borderId="14" xfId="0" applyNumberFormat="1" applyFont="1" applyFill="1" applyBorder="1" applyAlignment="1">
      <alignment shrinkToFit="1"/>
    </xf>
    <xf numFmtId="38" fontId="6" fillId="37" borderId="14" xfId="48" applyFont="1" applyFill="1" applyBorder="1" applyAlignment="1">
      <alignment shrinkToFit="1"/>
    </xf>
    <xf numFmtId="0" fontId="7" fillId="0" borderId="17" xfId="0" applyFont="1" applyFill="1" applyBorder="1" applyAlignment="1">
      <alignment shrinkToFit="1"/>
    </xf>
    <xf numFmtId="38" fontId="7" fillId="0" borderId="17" xfId="48" applyFont="1" applyFill="1" applyBorder="1" applyAlignment="1" applyProtection="1">
      <alignment shrinkToFit="1"/>
      <protection hidden="1"/>
    </xf>
    <xf numFmtId="38" fontId="7" fillId="0" borderId="17" xfId="48" applyFont="1" applyFill="1" applyBorder="1" applyAlignment="1">
      <alignment shrinkToFit="1"/>
    </xf>
    <xf numFmtId="38" fontId="2" fillId="0" borderId="0" xfId="48" applyFont="1" applyFill="1" applyBorder="1" applyAlignment="1" applyProtection="1">
      <alignment shrinkToFit="1"/>
      <protection hidden="1"/>
    </xf>
    <xf numFmtId="0" fontId="3" fillId="34" borderId="18" xfId="0" applyFont="1" applyFill="1" applyBorder="1" applyAlignment="1" applyProtection="1">
      <alignment horizontal="center" shrinkToFit="1"/>
      <protection hidden="1"/>
    </xf>
    <xf numFmtId="0" fontId="0" fillId="0" borderId="17" xfId="0" applyBorder="1" applyAlignment="1">
      <alignment shrinkToFit="1"/>
    </xf>
    <xf numFmtId="0" fontId="0" fillId="0" borderId="17" xfId="0" applyBorder="1" applyAlignment="1">
      <alignment horizontal="center" shrinkToFit="1"/>
    </xf>
    <xf numFmtId="38" fontId="0" fillId="0" borderId="17" xfId="48" applyBorder="1" applyAlignment="1">
      <alignment shrinkToFit="1"/>
    </xf>
    <xf numFmtId="38" fontId="0" fillId="0" borderId="17" xfId="0" applyNumberFormat="1" applyBorder="1" applyAlignment="1">
      <alignment shrinkToFit="1"/>
    </xf>
    <xf numFmtId="0" fontId="2" fillId="34" borderId="19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shrinkToFit="1"/>
    </xf>
    <xf numFmtId="0" fontId="3" fillId="33" borderId="21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38" fontId="7" fillId="0" borderId="0" xfId="48" applyFont="1" applyFill="1" applyBorder="1" applyAlignment="1">
      <alignment shrinkToFit="1"/>
    </xf>
    <xf numFmtId="38" fontId="7" fillId="0" borderId="0" xfId="48" applyFont="1" applyFill="1" applyBorder="1" applyAlignment="1" applyProtection="1">
      <alignment shrinkToFit="1"/>
      <protection hidden="1"/>
    </xf>
    <xf numFmtId="0" fontId="0" fillId="0" borderId="0" xfId="0" applyBorder="1" applyAlignment="1">
      <alignment shrinkToFit="1"/>
    </xf>
    <xf numFmtId="38" fontId="0" fillId="0" borderId="0" xfId="48" applyFont="1" applyAlignment="1">
      <alignment horizontal="center" vertical="center"/>
    </xf>
    <xf numFmtId="38" fontId="8" fillId="0" borderId="0" xfId="48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9" fillId="0" borderId="22" xfId="48" applyFont="1" applyBorder="1" applyAlignment="1">
      <alignment horizontal="left" vertical="center"/>
    </xf>
    <xf numFmtId="38" fontId="10" fillId="0" borderId="0" xfId="48" applyFont="1" applyAlignment="1">
      <alignment horizontal="center" vertical="center"/>
    </xf>
    <xf numFmtId="38" fontId="11" fillId="0" borderId="23" xfId="48" applyFont="1" applyBorder="1" applyAlignment="1">
      <alignment horizontal="center" vertical="center"/>
    </xf>
    <xf numFmtId="38" fontId="11" fillId="0" borderId="24" xfId="48" applyFont="1" applyBorder="1" applyAlignment="1">
      <alignment horizontal="center" vertical="center"/>
    </xf>
    <xf numFmtId="38" fontId="11" fillId="0" borderId="25" xfId="48" applyFont="1" applyBorder="1" applyAlignment="1">
      <alignment horizontal="center" vertical="center"/>
    </xf>
    <xf numFmtId="38" fontId="11" fillId="0" borderId="26" xfId="48" applyFont="1" applyBorder="1" applyAlignment="1">
      <alignment horizontal="center" vertical="center"/>
    </xf>
    <xf numFmtId="38" fontId="11" fillId="0" borderId="27" xfId="48" applyFont="1" applyBorder="1" applyAlignment="1">
      <alignment horizontal="center" vertical="center"/>
    </xf>
    <xf numFmtId="38" fontId="11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11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11" fillId="0" borderId="36" xfId="48" applyFont="1" applyBorder="1" applyAlignment="1">
      <alignment horizontal="center"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12" fillId="0" borderId="41" xfId="48" applyFont="1" applyBorder="1" applyAlignment="1">
      <alignment horizontal="center" vertical="center"/>
    </xf>
    <xf numFmtId="38" fontId="11" fillId="0" borderId="42" xfId="48" applyFont="1" applyBorder="1" applyAlignment="1">
      <alignment horizontal="center" vertical="center"/>
    </xf>
    <xf numFmtId="38" fontId="11" fillId="0" borderId="10" xfId="48" applyFont="1" applyBorder="1" applyAlignment="1">
      <alignment horizontal="center" vertical="center"/>
    </xf>
    <xf numFmtId="38" fontId="11" fillId="0" borderId="43" xfId="48" applyFont="1" applyBorder="1" applyAlignment="1">
      <alignment horizontal="center" vertical="center"/>
    </xf>
    <xf numFmtId="38" fontId="11" fillId="0" borderId="31" xfId="48" applyFont="1" applyBorder="1" applyAlignment="1">
      <alignment horizontal="center" vertical="center"/>
    </xf>
    <xf numFmtId="38" fontId="11" fillId="0" borderId="32" xfId="48" applyFont="1" applyBorder="1" applyAlignment="1">
      <alignment horizontal="center" vertical="center"/>
    </xf>
    <xf numFmtId="38" fontId="0" fillId="0" borderId="44" xfId="48" applyFont="1" applyBorder="1" applyAlignment="1">
      <alignment vertical="center"/>
    </xf>
    <xf numFmtId="38" fontId="0" fillId="0" borderId="34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11" fillId="0" borderId="12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11" fillId="0" borderId="35" xfId="48" applyFont="1" applyBorder="1" applyAlignment="1">
      <alignment horizontal="right" vertical="center"/>
    </xf>
    <xf numFmtId="38" fontId="11" fillId="0" borderId="16" xfId="48" applyFont="1" applyBorder="1" applyAlignment="1">
      <alignment horizontal="center" vertical="center"/>
    </xf>
    <xf numFmtId="38" fontId="11" fillId="0" borderId="35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11" fillId="0" borderId="39" xfId="48" applyFont="1" applyBorder="1" applyAlignment="1">
      <alignment horizontal="center" vertical="center"/>
    </xf>
    <xf numFmtId="38" fontId="11" fillId="0" borderId="40" xfId="48" applyFont="1" applyBorder="1" applyAlignment="1">
      <alignment horizontal="center" vertical="center"/>
    </xf>
    <xf numFmtId="38" fontId="0" fillId="0" borderId="45" xfId="48" applyFont="1" applyBorder="1" applyAlignment="1">
      <alignment vertical="center"/>
    </xf>
    <xf numFmtId="38" fontId="0" fillId="0" borderId="37" xfId="48" applyFont="1" applyBorder="1" applyAlignment="1">
      <alignment horizontal="right" vertical="center"/>
    </xf>
    <xf numFmtId="38" fontId="0" fillId="0" borderId="45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11" fillId="0" borderId="3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11" fillId="0" borderId="40" xfId="48" applyFont="1" applyBorder="1" applyAlignment="1">
      <alignment vertical="center"/>
    </xf>
    <xf numFmtId="38" fontId="12" fillId="0" borderId="22" xfId="48" applyFont="1" applyBorder="1" applyAlignment="1">
      <alignment horizontal="center" vertical="center"/>
    </xf>
    <xf numFmtId="38" fontId="9" fillId="0" borderId="47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11" fillId="0" borderId="48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38" fontId="0" fillId="0" borderId="49" xfId="48" applyFont="1" applyBorder="1" applyAlignment="1">
      <alignment vertical="center"/>
    </xf>
    <xf numFmtId="181" fontId="11" fillId="0" borderId="50" xfId="48" applyNumberFormat="1" applyFont="1" applyBorder="1" applyAlignment="1">
      <alignment horizontal="right" vertical="center"/>
    </xf>
    <xf numFmtId="181" fontId="11" fillId="0" borderId="33" xfId="48" applyNumberFormat="1" applyFont="1" applyBorder="1" applyAlignment="1">
      <alignment horizontal="right" vertical="center"/>
    </xf>
    <xf numFmtId="181" fontId="11" fillId="0" borderId="36" xfId="48" applyNumberFormat="1" applyFont="1" applyBorder="1" applyAlignment="1">
      <alignment horizontal="right" vertical="center"/>
    </xf>
    <xf numFmtId="38" fontId="11" fillId="0" borderId="51" xfId="48" applyFont="1" applyBorder="1" applyAlignment="1">
      <alignment horizontal="left" vertical="center"/>
    </xf>
    <xf numFmtId="38" fontId="11" fillId="0" borderId="52" xfId="48" applyFont="1" applyBorder="1" applyAlignment="1">
      <alignment horizontal="left" vertical="center"/>
    </xf>
    <xf numFmtId="38" fontId="11" fillId="0" borderId="53" xfId="48" applyFont="1" applyBorder="1" applyAlignment="1">
      <alignment horizontal="left" vertical="center"/>
    </xf>
    <xf numFmtId="182" fontId="11" fillId="0" borderId="50" xfId="48" applyNumberFormat="1" applyFont="1" applyBorder="1" applyAlignment="1">
      <alignment horizontal="right" vertical="center"/>
    </xf>
    <xf numFmtId="182" fontId="11" fillId="0" borderId="33" xfId="48" applyNumberFormat="1" applyFont="1" applyBorder="1" applyAlignment="1">
      <alignment horizontal="right" vertical="center"/>
    </xf>
    <xf numFmtId="182" fontId="11" fillId="0" borderId="36" xfId="48" applyNumberFormat="1" applyFont="1" applyBorder="1" applyAlignment="1">
      <alignment horizontal="right" vertical="center"/>
    </xf>
    <xf numFmtId="38" fontId="0" fillId="0" borderId="0" xfId="48" applyAlignment="1">
      <alignment horizontal="center" vertical="center"/>
    </xf>
    <xf numFmtId="38" fontId="0" fillId="0" borderId="0" xfId="48" applyBorder="1" applyAlignment="1">
      <alignment horizontal="center" vertical="center"/>
    </xf>
    <xf numFmtId="38" fontId="0" fillId="0" borderId="49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32" xfId="48" applyBorder="1" applyAlignment="1">
      <alignment vertical="center"/>
    </xf>
    <xf numFmtId="38" fontId="0" fillId="0" borderId="44" xfId="48" applyBorder="1" applyAlignment="1">
      <alignment vertical="center"/>
    </xf>
    <xf numFmtId="38" fontId="0" fillId="0" borderId="17" xfId="48" applyBorder="1" applyAlignment="1">
      <alignment vertical="center"/>
    </xf>
    <xf numFmtId="38" fontId="0" fillId="0" borderId="45" xfId="48" applyBorder="1" applyAlignment="1">
      <alignment vertical="center"/>
    </xf>
    <xf numFmtId="38" fontId="0" fillId="0" borderId="46" xfId="48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49" xfId="48" applyBorder="1" applyAlignment="1">
      <alignment vertical="center"/>
    </xf>
    <xf numFmtId="38" fontId="9" fillId="0" borderId="0" xfId="48" applyFont="1" applyBorder="1" applyAlignment="1">
      <alignment horizontal="left" vertical="center"/>
    </xf>
    <xf numFmtId="38" fontId="12" fillId="0" borderId="0" xfId="48" applyFont="1" applyBorder="1" applyAlignment="1">
      <alignment horizontal="center" vertical="center"/>
    </xf>
    <xf numFmtId="38" fontId="12" fillId="0" borderId="41" xfId="48" applyFont="1" applyBorder="1" applyAlignment="1">
      <alignment horizontal="left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34" borderId="15" xfId="0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3" fillId="34" borderId="16" xfId="0" applyFont="1" applyFill="1" applyBorder="1" applyAlignment="1">
      <alignment horizontal="center" shrinkToFit="1"/>
    </xf>
    <xf numFmtId="0" fontId="13" fillId="33" borderId="12" xfId="0" applyFont="1" applyFill="1" applyBorder="1" applyAlignment="1">
      <alignment shrinkToFit="1"/>
    </xf>
    <xf numFmtId="0" fontId="14" fillId="33" borderId="13" xfId="0" applyFont="1" applyFill="1" applyBorder="1" applyAlignment="1">
      <alignment shrinkToFit="1"/>
    </xf>
    <xf numFmtId="0" fontId="13" fillId="34" borderId="19" xfId="0" applyFont="1" applyFill="1" applyBorder="1" applyAlignment="1">
      <alignment horizontal="center" shrinkToFit="1"/>
    </xf>
    <xf numFmtId="0" fontId="13" fillId="33" borderId="20" xfId="0" applyFont="1" applyFill="1" applyBorder="1" applyAlignment="1">
      <alignment shrinkToFit="1"/>
    </xf>
    <xf numFmtId="0" fontId="14" fillId="33" borderId="21" xfId="0" applyFont="1" applyFill="1" applyBorder="1" applyAlignment="1">
      <alignment shrinkToFit="1"/>
    </xf>
    <xf numFmtId="0" fontId="13" fillId="0" borderId="0" xfId="0" applyFont="1" applyAlignment="1">
      <alignment shrinkToFit="1"/>
    </xf>
    <xf numFmtId="0" fontId="13" fillId="34" borderId="54" xfId="0" applyFont="1" applyFill="1" applyBorder="1" applyAlignment="1" applyProtection="1">
      <alignment shrinkToFit="1"/>
      <protection hidden="1"/>
    </xf>
    <xf numFmtId="0" fontId="13" fillId="34" borderId="14" xfId="0" applyFont="1" applyFill="1" applyBorder="1" applyAlignment="1" applyProtection="1">
      <alignment horizontal="center" shrinkToFit="1"/>
      <protection hidden="1"/>
    </xf>
    <xf numFmtId="0" fontId="14" fillId="34" borderId="14" xfId="0" applyFont="1" applyFill="1" applyBorder="1" applyAlignment="1" applyProtection="1">
      <alignment horizontal="center" shrinkToFit="1"/>
      <protection hidden="1"/>
    </xf>
    <xf numFmtId="179" fontId="13" fillId="38" borderId="14" xfId="48" applyNumberFormat="1" applyFont="1" applyFill="1" applyBorder="1" applyAlignment="1" applyProtection="1">
      <alignment shrinkToFit="1"/>
      <protection hidden="1"/>
    </xf>
    <xf numFmtId="179" fontId="11" fillId="0" borderId="35" xfId="48" applyNumberFormat="1" applyFont="1" applyFill="1" applyBorder="1" applyAlignment="1" applyProtection="1">
      <alignment vertical="center" shrinkToFit="1"/>
      <protection hidden="1"/>
    </xf>
    <xf numFmtId="179" fontId="11" fillId="0" borderId="12" xfId="48" applyNumberFormat="1" applyFont="1" applyFill="1" applyBorder="1" applyAlignment="1" applyProtection="1">
      <alignment vertical="center" shrinkToFit="1"/>
      <protection hidden="1"/>
    </xf>
    <xf numFmtId="0" fontId="11" fillId="0" borderId="41" xfId="0" applyFont="1" applyFill="1" applyBorder="1" applyAlignment="1" applyProtection="1">
      <alignment horizontal="left" vertical="center" shrinkToFit="1"/>
      <protection hidden="1"/>
    </xf>
    <xf numFmtId="184" fontId="11" fillId="33" borderId="28" xfId="48" applyNumberFormat="1" applyFont="1" applyFill="1" applyBorder="1" applyAlignment="1">
      <alignment horizontal="center" vertical="center"/>
    </xf>
    <xf numFmtId="38" fontId="0" fillId="33" borderId="30" xfId="48" applyFill="1" applyBorder="1" applyAlignment="1">
      <alignment vertical="center"/>
    </xf>
    <xf numFmtId="184" fontId="11" fillId="33" borderId="33" xfId="48" applyNumberFormat="1" applyFont="1" applyFill="1" applyBorder="1" applyAlignment="1">
      <alignment horizontal="center" vertical="center"/>
    </xf>
    <xf numFmtId="38" fontId="0" fillId="33" borderId="12" xfId="48" applyFill="1" applyBorder="1" applyAlignment="1">
      <alignment vertical="center"/>
    </xf>
    <xf numFmtId="184" fontId="11" fillId="33" borderId="36" xfId="48" applyNumberFormat="1" applyFont="1" applyFill="1" applyBorder="1" applyAlignment="1">
      <alignment horizontal="center" vertical="center"/>
    </xf>
    <xf numFmtId="38" fontId="0" fillId="33" borderId="38" xfId="48" applyFill="1" applyBorder="1" applyAlignment="1">
      <alignment vertical="center"/>
    </xf>
    <xf numFmtId="38" fontId="11" fillId="33" borderId="51" xfId="48" applyFont="1" applyFill="1" applyBorder="1" applyAlignment="1">
      <alignment horizontal="left" vertical="center"/>
    </xf>
    <xf numFmtId="38" fontId="11" fillId="33" borderId="52" xfId="48" applyFont="1" applyFill="1" applyBorder="1" applyAlignment="1">
      <alignment horizontal="left" vertical="center"/>
    </xf>
    <xf numFmtId="38" fontId="0" fillId="33" borderId="44" xfId="48" applyFill="1" applyBorder="1" applyAlignment="1">
      <alignment vertical="center"/>
    </xf>
    <xf numFmtId="38" fontId="0" fillId="33" borderId="17" xfId="48" applyFill="1" applyBorder="1" applyAlignment="1">
      <alignment vertical="center"/>
    </xf>
    <xf numFmtId="38" fontId="0" fillId="33" borderId="40" xfId="48" applyFill="1" applyBorder="1" applyAlignment="1">
      <alignment vertical="center"/>
    </xf>
    <xf numFmtId="38" fontId="8" fillId="33" borderId="0" xfId="48" applyFont="1" applyFill="1" applyAlignment="1">
      <alignment horizontal="center" vertical="center"/>
    </xf>
    <xf numFmtId="38" fontId="15" fillId="0" borderId="0" xfId="48" applyFont="1" applyAlignment="1">
      <alignment horizontal="left" vertical="center"/>
    </xf>
    <xf numFmtId="185" fontId="10" fillId="38" borderId="14" xfId="48" applyNumberFormat="1" applyFont="1" applyFill="1" applyBorder="1" applyAlignment="1" applyProtection="1">
      <alignment shrinkToFit="1"/>
      <protection hidden="1"/>
    </xf>
    <xf numFmtId="185" fontId="10" fillId="38" borderId="18" xfId="48" applyNumberFormat="1" applyFont="1" applyFill="1" applyBorder="1" applyAlignment="1" applyProtection="1">
      <alignment shrinkToFit="1"/>
      <protection hidden="1"/>
    </xf>
    <xf numFmtId="185" fontId="10" fillId="39" borderId="14" xfId="48" applyNumberFormat="1" applyFont="1" applyFill="1" applyBorder="1" applyAlignment="1" applyProtection="1">
      <alignment shrinkToFit="1"/>
      <protection hidden="1"/>
    </xf>
    <xf numFmtId="185" fontId="10" fillId="39" borderId="18" xfId="48" applyNumberFormat="1" applyFont="1" applyFill="1" applyBorder="1" applyAlignment="1" applyProtection="1">
      <alignment shrinkToFit="1"/>
      <protection hidden="1"/>
    </xf>
    <xf numFmtId="38" fontId="0" fillId="0" borderId="0" xfId="48" applyAlignment="1">
      <alignment shrinkToFit="1"/>
    </xf>
    <xf numFmtId="38" fontId="0" fillId="0" borderId="30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38" xfId="48" applyBorder="1" applyAlignment="1">
      <alignment vertical="center"/>
    </xf>
    <xf numFmtId="0" fontId="11" fillId="35" borderId="15" xfId="0" applyFont="1" applyFill="1" applyBorder="1" applyAlignment="1" applyProtection="1">
      <alignment horizontal="center" vertical="center" shrinkToFit="1"/>
      <protection hidden="1"/>
    </xf>
    <xf numFmtId="0" fontId="11" fillId="35" borderId="16" xfId="0" applyFont="1" applyFill="1" applyBorder="1" applyAlignment="1" applyProtection="1">
      <alignment horizontal="center" vertical="center" shrinkToFit="1"/>
      <protection hidden="1"/>
    </xf>
    <xf numFmtId="0" fontId="11" fillId="35" borderId="39" xfId="0" applyFont="1" applyFill="1" applyBorder="1" applyAlignment="1" applyProtection="1">
      <alignment horizontal="center" vertical="center" shrinkToFit="1"/>
      <protection hidden="1"/>
    </xf>
    <xf numFmtId="0" fontId="11" fillId="35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shrinkToFit="1"/>
    </xf>
    <xf numFmtId="0" fontId="10" fillId="0" borderId="41" xfId="0" applyFont="1" applyFill="1" applyBorder="1" applyAlignment="1" applyProtection="1">
      <alignment horizontal="center" shrinkToFit="1"/>
      <protection hidden="1"/>
    </xf>
    <xf numFmtId="0" fontId="11" fillId="0" borderId="45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179" fontId="11" fillId="0" borderId="17" xfId="48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3" fillId="0" borderId="41" xfId="0" applyFont="1" applyBorder="1" applyAlignment="1">
      <alignment horizontal="center" shrinkToFit="1"/>
    </xf>
    <xf numFmtId="38" fontId="11" fillId="0" borderId="25" xfId="48" applyFont="1" applyBorder="1" applyAlignment="1">
      <alignment horizontal="center" vertical="center"/>
    </xf>
    <xf numFmtId="38" fontId="11" fillId="0" borderId="57" xfId="48" applyFont="1" applyBorder="1" applyAlignment="1">
      <alignment horizontal="center" vertical="center"/>
    </xf>
    <xf numFmtId="38" fontId="9" fillId="0" borderId="47" xfId="48" applyFont="1" applyBorder="1" applyAlignment="1">
      <alignment horizontal="center" vertical="center"/>
    </xf>
    <xf numFmtId="38" fontId="9" fillId="0" borderId="22" xfId="48" applyFont="1" applyBorder="1" applyAlignment="1">
      <alignment horizontal="center" vertical="center"/>
    </xf>
    <xf numFmtId="38" fontId="12" fillId="0" borderId="22" xfId="48" applyFont="1" applyBorder="1" applyAlignment="1">
      <alignment horizontal="center" vertical="center"/>
    </xf>
    <xf numFmtId="38" fontId="11" fillId="0" borderId="23" xfId="48" applyFont="1" applyBorder="1" applyAlignment="1">
      <alignment horizontal="center" vertical="center"/>
    </xf>
    <xf numFmtId="38" fontId="11" fillId="0" borderId="48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11" fillId="0" borderId="58" xfId="48" applyFont="1" applyBorder="1" applyAlignment="1">
      <alignment horizontal="center" vertical="center"/>
    </xf>
    <xf numFmtId="38" fontId="11" fillId="0" borderId="59" xfId="48" applyFont="1" applyBorder="1" applyAlignment="1">
      <alignment horizontal="center" vertical="center"/>
    </xf>
    <xf numFmtId="38" fontId="11" fillId="0" borderId="60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8" fillId="0" borderId="0" xfId="48" applyFont="1" applyAlignment="1">
      <alignment horizontal="center" vertical="center"/>
    </xf>
    <xf numFmtId="38" fontId="9" fillId="0" borderId="22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zoomScalePageLayoutView="0" workbookViewId="0" topLeftCell="A1">
      <selection activeCell="A6" sqref="A6:C6"/>
    </sheetView>
  </sheetViews>
  <sheetFormatPr defaultColWidth="9.00390625" defaultRowHeight="13.5"/>
  <cols>
    <col min="1" max="1" width="19.75390625" style="1" bestFit="1" customWidth="1"/>
    <col min="2" max="3" width="16.00390625" style="1" bestFit="1" customWidth="1"/>
    <col min="4" max="4" width="12.25390625" style="1" bestFit="1" customWidth="1"/>
    <col min="5" max="5" width="15.50390625" style="1" customWidth="1"/>
    <col min="6" max="6" width="9.25390625" style="1" customWidth="1"/>
    <col min="7" max="7" width="11.00390625" style="1" customWidth="1"/>
    <col min="8" max="8" width="13.375" style="1" customWidth="1"/>
    <col min="9" max="9" width="7.50390625" style="1" customWidth="1"/>
    <col min="10" max="10" width="5.75390625" style="1" customWidth="1"/>
    <col min="11" max="11" width="8.125" style="1" customWidth="1"/>
    <col min="12" max="16384" width="9.00390625" style="1" customWidth="1"/>
  </cols>
  <sheetData>
    <row r="1" spans="1:5" ht="25.5">
      <c r="A1" s="162" t="s">
        <v>15</v>
      </c>
      <c r="B1" s="162"/>
      <c r="C1" s="162"/>
      <c r="E1" s="2" t="s">
        <v>117</v>
      </c>
    </row>
    <row r="2" ht="6" customHeight="1" thickBot="1"/>
    <row r="3" spans="1:8" ht="24.75" thickBot="1">
      <c r="A3" s="11" t="s">
        <v>0</v>
      </c>
      <c r="B3" s="3">
        <v>13</v>
      </c>
      <c r="C3" s="4" t="s">
        <v>108</v>
      </c>
      <c r="D3" s="10" t="s">
        <v>18</v>
      </c>
      <c r="E3" s="16">
        <v>37388</v>
      </c>
      <c r="G3" s="10" t="s">
        <v>20</v>
      </c>
      <c r="H3" s="17">
        <f>DAYS360(E3,E4)+1</f>
        <v>31</v>
      </c>
    </row>
    <row r="4" spans="1:8" ht="24.75" thickBot="1">
      <c r="A4" s="12" t="s">
        <v>2</v>
      </c>
      <c r="B4" s="6">
        <v>100</v>
      </c>
      <c r="C4" s="7" t="s">
        <v>119</v>
      </c>
      <c r="D4" s="10" t="s">
        <v>19</v>
      </c>
      <c r="E4" s="16">
        <v>37419</v>
      </c>
      <c r="G4" s="10" t="s">
        <v>21</v>
      </c>
      <c r="H4" s="18">
        <f>IF(H3&lt;31,E18,IF(H3&lt;46,IF(E12&gt;E18,E18,E12),E12))</f>
        <v>29370</v>
      </c>
    </row>
    <row r="5" spans="1:3" ht="24">
      <c r="A5" s="12" t="s">
        <v>1</v>
      </c>
      <c r="B5" s="6">
        <v>100</v>
      </c>
      <c r="C5" s="7" t="s">
        <v>119</v>
      </c>
    </row>
    <row r="6" spans="1:3" ht="24.75" thickBot="1">
      <c r="A6" s="28" t="s">
        <v>22</v>
      </c>
      <c r="B6" s="29">
        <v>1</v>
      </c>
      <c r="C6" s="30" t="s">
        <v>23</v>
      </c>
    </row>
    <row r="7" spans="1:5" ht="8.25" customHeight="1">
      <c r="A7" s="5"/>
      <c r="B7" s="5"/>
      <c r="C7" s="8"/>
      <c r="D7" s="5"/>
      <c r="E7" s="5"/>
    </row>
    <row r="8" spans="1:5" ht="24.75" thickBot="1">
      <c r="A8" s="5" t="s">
        <v>17</v>
      </c>
      <c r="B8" s="5"/>
      <c r="C8" s="8"/>
      <c r="D8" s="5"/>
      <c r="E8" s="5"/>
    </row>
    <row r="9" spans="1:9" ht="24.75" thickBot="1">
      <c r="A9" s="13"/>
      <c r="B9" s="14" t="s">
        <v>3</v>
      </c>
      <c r="C9" s="15" t="s">
        <v>11</v>
      </c>
      <c r="D9" s="15" t="s">
        <v>10</v>
      </c>
      <c r="E9" s="23" t="s">
        <v>12</v>
      </c>
      <c r="F9" s="25" t="s">
        <v>26</v>
      </c>
      <c r="G9" s="25" t="s">
        <v>13</v>
      </c>
      <c r="H9" s="25" t="s">
        <v>14</v>
      </c>
      <c r="I9" s="25" t="s">
        <v>12</v>
      </c>
    </row>
    <row r="10" spans="1:9" ht="24.75" thickBot="1">
      <c r="A10" s="13" t="s">
        <v>7</v>
      </c>
      <c r="B10" s="150">
        <f>SUMIF(A29:A36,B3,C29:C36)</f>
        <v>1000</v>
      </c>
      <c r="C10" s="150">
        <f>IF($B$4&lt;21,$B$4*C40,IF($B$4&lt;41,D41+($B$4-20)*C41,IF($B$4&lt;61,D42+($B$4-40)*C42,IF($B$4&lt;101,D43+($B$4-60)*C43,IF($B$4&lt;201,D44+($B$4-100)*C44,D45+($B$4-200)*C45)))))</f>
        <v>14100</v>
      </c>
      <c r="D10" s="150">
        <f>INT((B10+C10)*0.1)</f>
        <v>1510</v>
      </c>
      <c r="E10" s="151">
        <f>SUM(B10:D10)</f>
        <v>16610</v>
      </c>
      <c r="F10" s="26">
        <f>K22</f>
        <v>15620</v>
      </c>
      <c r="G10" s="26">
        <f>INT(B10*1.1)</f>
        <v>1100</v>
      </c>
      <c r="H10" s="26">
        <f>INT(C10*1.1)</f>
        <v>15510</v>
      </c>
      <c r="I10" s="27">
        <f>SUM(G10:H10)</f>
        <v>16610</v>
      </c>
    </row>
    <row r="11" spans="1:9" ht="24.75" thickBot="1">
      <c r="A11" s="13" t="s">
        <v>8</v>
      </c>
      <c r="B11" s="150">
        <f>IF(B5&lt;&gt;0,SUMIF(A29:A36,B3,E29:E36),0)</f>
        <v>1200</v>
      </c>
      <c r="C11" s="150">
        <f>IF($B$5&lt;&gt;0,IF($B$5&lt;21,$B$5*E40,IF($B$5&lt;41,F41+($B$5-20)*E41,IF($B$5&lt;101,F42+($B$5-40)*E42,F44+($B$5-100)*E44))),0)</f>
        <v>10400</v>
      </c>
      <c r="D11" s="150">
        <f>INT((B11+C11)*0.1)</f>
        <v>1160</v>
      </c>
      <c r="E11" s="151">
        <f>SUM(B11:D11)</f>
        <v>12760</v>
      </c>
      <c r="F11" s="26">
        <f>K23</f>
        <v>11000</v>
      </c>
      <c r="G11" s="26">
        <f>INT(B11*1.1)</f>
        <v>1320</v>
      </c>
      <c r="H11" s="26">
        <f>INT(C11*1.1)</f>
        <v>11440</v>
      </c>
      <c r="I11" s="27">
        <f>SUM(G11:H11)</f>
        <v>12760</v>
      </c>
    </row>
    <row r="12" spans="1:6" ht="24.75" thickBot="1">
      <c r="A12" s="13" t="s">
        <v>9</v>
      </c>
      <c r="B12" s="150">
        <f>SUM(B10:B11)</f>
        <v>2200</v>
      </c>
      <c r="C12" s="150">
        <f>SUM(C10:C11)</f>
        <v>24500</v>
      </c>
      <c r="D12" s="150">
        <f>SUM(D10:D11)</f>
        <v>2670</v>
      </c>
      <c r="E12" s="151">
        <f>SUM(E10:E11)</f>
        <v>29370</v>
      </c>
      <c r="F12" s="26">
        <f>SUM(F10:F11)</f>
        <v>26620</v>
      </c>
    </row>
    <row r="13" ht="8.25" customHeight="1"/>
    <row r="14" ht="22.5" customHeight="1" thickBot="1">
      <c r="A14" s="9" t="s">
        <v>16</v>
      </c>
    </row>
    <row r="15" spans="1:9" ht="24.75" thickBot="1">
      <c r="A15" s="13"/>
      <c r="B15" s="14" t="s">
        <v>3</v>
      </c>
      <c r="C15" s="15" t="s">
        <v>11</v>
      </c>
      <c r="D15" s="15" t="s">
        <v>10</v>
      </c>
      <c r="E15" s="23" t="s">
        <v>12</v>
      </c>
      <c r="F15" s="25" t="s">
        <v>26</v>
      </c>
      <c r="G15" s="25" t="s">
        <v>13</v>
      </c>
      <c r="H15" s="25" t="s">
        <v>14</v>
      </c>
      <c r="I15" s="25" t="s">
        <v>12</v>
      </c>
    </row>
    <row r="16" spans="1:9" ht="24.75" thickBot="1">
      <c r="A16" s="13" t="s">
        <v>7</v>
      </c>
      <c r="B16" s="152">
        <f>SUMIF(A29:A36,B3,C29:C36)/2</f>
        <v>500</v>
      </c>
      <c r="C16" s="152">
        <f>IF($B$4&lt;11,$B$4*C40,IF($B$4&lt;21,D41/2+($B$4-10)*C41,IF($B$4&lt;31,D42/2+($B$4-20)*C42,IF($B$4&lt;51,D43/2+($B$4-30)*C43,IF($B$4&lt;101,D44/2+($B$4-50)*C44,D45/2+($B$4-100)*C45)))))</f>
        <v>18050</v>
      </c>
      <c r="D16" s="152">
        <f>INT((B16+C16)*0.1)</f>
        <v>1855</v>
      </c>
      <c r="E16" s="153">
        <f>SUM(B16:D16)</f>
        <v>20405</v>
      </c>
      <c r="F16" s="26">
        <f>K24</f>
        <v>19085</v>
      </c>
      <c r="G16" s="26">
        <f>INT(B16*1.1)</f>
        <v>550</v>
      </c>
      <c r="H16" s="26">
        <f>INT(C16*1.1)</f>
        <v>19855</v>
      </c>
      <c r="I16" s="27">
        <f>SUM(G16:H16)</f>
        <v>20405</v>
      </c>
    </row>
    <row r="17" spans="1:9" ht="24.75" thickBot="1">
      <c r="A17" s="13" t="s">
        <v>8</v>
      </c>
      <c r="B17" s="152">
        <f>IF(B5&lt;&gt;0,600,0)</f>
        <v>600</v>
      </c>
      <c r="C17" s="152">
        <f>IF($B$5&lt;&gt;0,IF($B$5&lt;11,$B$5*E40,IF($B$5&lt;21,F41/2+($B$5-10)*E41,IF($B$5&lt;31,F42/2+($B$5-20)*E42,IF($B$5&lt;101,F44/2+($B$5-50)*E44,F45/2+($B$5-100)*E45)))))</f>
        <v>12700</v>
      </c>
      <c r="D17" s="152">
        <f>INT((B17+C17)*0.1)</f>
        <v>1330</v>
      </c>
      <c r="E17" s="153">
        <f>SUM(B17:D17)</f>
        <v>14630</v>
      </c>
      <c r="F17" s="26">
        <f>K25</f>
        <v>12375</v>
      </c>
      <c r="G17" s="26">
        <f>INT(B17*1.1)</f>
        <v>660</v>
      </c>
      <c r="H17" s="26">
        <f>INT(C17*1.1)</f>
        <v>13970</v>
      </c>
      <c r="I17" s="27">
        <f>SUM(G17:H17)</f>
        <v>14630</v>
      </c>
    </row>
    <row r="18" spans="1:6" ht="24.75" thickBot="1">
      <c r="A18" s="13" t="s">
        <v>9</v>
      </c>
      <c r="B18" s="152">
        <f>SUM(B16:B17)</f>
        <v>1100</v>
      </c>
      <c r="C18" s="152">
        <f>SUM(C16:C17)</f>
        <v>30750</v>
      </c>
      <c r="D18" s="152">
        <f>SUM(D16:D17)</f>
        <v>3185</v>
      </c>
      <c r="E18" s="153">
        <f>SUM(E16:E17)</f>
        <v>35035</v>
      </c>
      <c r="F18" s="26">
        <f>SUM(F16:F17)</f>
        <v>31460</v>
      </c>
    </row>
    <row r="19" spans="1:6" ht="8.25" customHeight="1">
      <c r="A19" s="9"/>
      <c r="B19" s="22"/>
      <c r="C19" s="22"/>
      <c r="D19" s="22"/>
      <c r="E19" s="22"/>
      <c r="F19" s="154"/>
    </row>
    <row r="20" spans="1:6" ht="24">
      <c r="A20" s="9" t="s">
        <v>26</v>
      </c>
      <c r="B20" s="22"/>
      <c r="C20" s="22"/>
      <c r="D20" s="22"/>
      <c r="E20" s="22"/>
      <c r="F20" s="154"/>
    </row>
    <row r="21" spans="1:11" ht="14.25">
      <c r="A21" s="19" t="s">
        <v>27</v>
      </c>
      <c r="B21" s="19" t="s">
        <v>29</v>
      </c>
      <c r="C21" s="19" t="s">
        <v>28</v>
      </c>
      <c r="D21" s="19" t="s">
        <v>30</v>
      </c>
      <c r="E21" s="19" t="s">
        <v>31</v>
      </c>
      <c r="F21" s="19" t="s">
        <v>33</v>
      </c>
      <c r="G21" s="19" t="s">
        <v>111</v>
      </c>
      <c r="H21" s="19" t="s">
        <v>112</v>
      </c>
      <c r="I21" s="19" t="s">
        <v>34</v>
      </c>
      <c r="J21" s="19" t="s">
        <v>10</v>
      </c>
      <c r="K21" s="19" t="s">
        <v>32</v>
      </c>
    </row>
    <row r="22" spans="1:11" ht="14.25">
      <c r="A22" s="19" t="s">
        <v>24</v>
      </c>
      <c r="B22" s="21">
        <f>INT(B4/B6)</f>
        <v>100</v>
      </c>
      <c r="C22" s="20">
        <f>IF(B22&lt;21,B22*65,IF(B22&lt;41,1300+(B22-20)*115,IF(B22&lt;61,3600+(B22-40)*140,IF(B22&lt;101,6400+(B22-60)*170,IF(B22&lt;201,13200+(B22-100)*205,33700+(B22-200)*230)))))</f>
        <v>13200</v>
      </c>
      <c r="D22" s="21">
        <f>C22*$B$6</f>
        <v>13200</v>
      </c>
      <c r="E22" s="21">
        <f>$B$4-B22*$B$6</f>
        <v>0</v>
      </c>
      <c r="F22" s="20">
        <f>IF(B22&lt;21,65,IF(B22&lt;41,115,IF(B22&lt;61,140,IF(B22&lt;101,170,IF(B22&lt;201,205,230)))))</f>
        <v>170</v>
      </c>
      <c r="G22" s="20">
        <f>E22*F22</f>
        <v>0</v>
      </c>
      <c r="H22" s="21">
        <f>D22+G22</f>
        <v>13200</v>
      </c>
      <c r="I22" s="21">
        <f>H22+$B$10*$B$6</f>
        <v>14200</v>
      </c>
      <c r="J22" s="21">
        <f>INT(I22*0.1)</f>
        <v>1420</v>
      </c>
      <c r="K22" s="21">
        <f>J22+I22</f>
        <v>15620</v>
      </c>
    </row>
    <row r="23" spans="1:11" ht="14.25">
      <c r="A23" s="19" t="s">
        <v>35</v>
      </c>
      <c r="B23" s="21">
        <f>INT(B5/B6)</f>
        <v>100</v>
      </c>
      <c r="C23" s="20">
        <f>IF(B23&lt;&gt;0,IF(B23&lt;21,B23*60,IF(B23&lt;41,1200+(B23-20)*80,IF(B23&lt;101,2800+(B23-40)*100,8800+(B23-100)*125))),0)</f>
        <v>8800</v>
      </c>
      <c r="D23" s="21">
        <f>C23*$B$6</f>
        <v>8800</v>
      </c>
      <c r="E23" s="21">
        <f>$B$5-B23*$B$6</f>
        <v>0</v>
      </c>
      <c r="F23" s="20">
        <f>IF(B23&lt;&gt;0,IF(B23&lt;21,60,IF(B23&lt;41,80,IF(B23&lt;101,100,125))),0)</f>
        <v>100</v>
      </c>
      <c r="G23" s="20">
        <f>E23*F23</f>
        <v>0</v>
      </c>
      <c r="H23" s="21">
        <f>D23+G23</f>
        <v>8800</v>
      </c>
      <c r="I23" s="21">
        <f>H23+$B$11*$B$6</f>
        <v>10000</v>
      </c>
      <c r="J23" s="21">
        <f>INT(I23*0.1)</f>
        <v>1000</v>
      </c>
      <c r="K23" s="21">
        <f>J23+I23</f>
        <v>11000</v>
      </c>
    </row>
    <row r="24" spans="1:11" ht="14.25">
      <c r="A24" s="19" t="s">
        <v>25</v>
      </c>
      <c r="B24" s="21">
        <f>INT(B4/B6)</f>
        <v>100</v>
      </c>
      <c r="C24" s="20">
        <f>IF(B24&lt;11,B24*65,IF(B24&lt;21,650+(B24-10)*115,IF(B24&lt;31,1800+(B24-20)*140,IF(B24&lt;51,3200+(B24-30)*170,IF(B24&lt;101,6600+(B24-50)*205,16850+(B24-100)*230)))))</f>
        <v>16850</v>
      </c>
      <c r="D24" s="21">
        <f>C24*$B$6</f>
        <v>16850</v>
      </c>
      <c r="E24" s="21">
        <f>$B$4-B24*$B$6</f>
        <v>0</v>
      </c>
      <c r="F24" s="20">
        <f>IF(B24&lt;11,65,IF(B24&lt;21,115,IF(B24&lt;31,140,IF(B24&lt;51,170,IF(B24&lt;101,205,230)))))</f>
        <v>205</v>
      </c>
      <c r="G24" s="20">
        <f>E24*F24</f>
        <v>0</v>
      </c>
      <c r="H24" s="21">
        <f>D24+G24</f>
        <v>16850</v>
      </c>
      <c r="I24" s="21">
        <f>H24+$B$16*$B$6</f>
        <v>17350</v>
      </c>
      <c r="J24" s="21">
        <f>INT(I24*0.1)</f>
        <v>1735</v>
      </c>
      <c r="K24" s="21">
        <f>J24+I24</f>
        <v>19085</v>
      </c>
    </row>
    <row r="25" spans="1:11" ht="14.25">
      <c r="A25" s="19" t="s">
        <v>36</v>
      </c>
      <c r="B25" s="21">
        <f>INT(B5/B6)</f>
        <v>100</v>
      </c>
      <c r="C25" s="20">
        <f>IF(B25&lt;&gt;0,IF(B25&lt;11,B25*60,IF(B25&lt;21,600+(B25-10)*80,IF(B25&lt;51,1400+(B25-20)*100,4400+(B25-50)*125))),0)</f>
        <v>10650</v>
      </c>
      <c r="D25" s="21">
        <f>C25*$B$6</f>
        <v>10650</v>
      </c>
      <c r="E25" s="21">
        <f>$B$5-B25*$B$6</f>
        <v>0</v>
      </c>
      <c r="F25" s="20">
        <f>IF(B25&lt;&gt;0,IF(B25&lt;11,60,IF(B25&lt;21,80,IF(B25&lt;51,100,125))),0)</f>
        <v>125</v>
      </c>
      <c r="G25" s="20">
        <f>E25*F25</f>
        <v>0</v>
      </c>
      <c r="H25" s="21">
        <f>D25+G25</f>
        <v>10650</v>
      </c>
      <c r="I25" s="21">
        <f>H25+$B$17*$B$6</f>
        <v>11250</v>
      </c>
      <c r="J25" s="21">
        <f>INT(I25*0.1)</f>
        <v>1125</v>
      </c>
      <c r="K25" s="21">
        <f>J25+I25</f>
        <v>12375</v>
      </c>
    </row>
    <row r="26" spans="1:11" ht="14.25">
      <c r="A26" s="31"/>
      <c r="B26" s="32"/>
      <c r="C26" s="33"/>
      <c r="D26" s="32"/>
      <c r="E26" s="32"/>
      <c r="F26" s="33"/>
      <c r="G26" s="33"/>
      <c r="H26" s="32"/>
      <c r="I26" s="32"/>
      <c r="J26" s="32"/>
      <c r="K26" s="32"/>
    </row>
    <row r="27" spans="1:9" ht="14.25">
      <c r="A27" s="1" t="s">
        <v>3</v>
      </c>
      <c r="C27" s="33"/>
      <c r="D27" s="34"/>
      <c r="E27" s="32"/>
      <c r="F27" s="33"/>
      <c r="G27" s="34"/>
      <c r="H27" s="34"/>
      <c r="I27" s="32"/>
    </row>
    <row r="28" spans="1:5" ht="13.5">
      <c r="A28" s="1" t="s">
        <v>4</v>
      </c>
      <c r="C28" s="1" t="s">
        <v>7</v>
      </c>
      <c r="E28" s="1" t="s">
        <v>8</v>
      </c>
    </row>
    <row r="29" spans="1:6" ht="13.5">
      <c r="A29" s="24">
        <v>13</v>
      </c>
      <c r="B29" s="24" t="s">
        <v>113</v>
      </c>
      <c r="C29" s="155">
        <v>1000</v>
      </c>
      <c r="D29" s="24" t="s">
        <v>6</v>
      </c>
      <c r="E29" s="24">
        <v>1200</v>
      </c>
      <c r="F29" s="24" t="s">
        <v>6</v>
      </c>
    </row>
    <row r="30" spans="1:6" ht="13.5">
      <c r="A30" s="24">
        <v>20</v>
      </c>
      <c r="B30" s="24" t="s">
        <v>114</v>
      </c>
      <c r="C30" s="156">
        <v>2200</v>
      </c>
      <c r="D30" s="24" t="s">
        <v>6</v>
      </c>
      <c r="E30" s="24">
        <v>1200</v>
      </c>
      <c r="F30" s="24" t="s">
        <v>6</v>
      </c>
    </row>
    <row r="31" spans="1:6" ht="13.5">
      <c r="A31" s="24">
        <v>25</v>
      </c>
      <c r="B31" s="24" t="s">
        <v>114</v>
      </c>
      <c r="C31" s="156">
        <v>4800</v>
      </c>
      <c r="D31" s="24" t="s">
        <v>6</v>
      </c>
      <c r="E31" s="24">
        <v>1200</v>
      </c>
      <c r="F31" s="24" t="s">
        <v>6</v>
      </c>
    </row>
    <row r="32" spans="1:6" ht="13.5">
      <c r="A32" s="24">
        <v>30</v>
      </c>
      <c r="B32" s="24" t="s">
        <v>114</v>
      </c>
      <c r="C32" s="156">
        <v>4800</v>
      </c>
      <c r="D32" s="24" t="s">
        <v>6</v>
      </c>
      <c r="E32" s="24">
        <v>1200</v>
      </c>
      <c r="F32" s="24" t="s">
        <v>6</v>
      </c>
    </row>
    <row r="33" spans="1:6" ht="13.5">
      <c r="A33" s="24">
        <v>40</v>
      </c>
      <c r="B33" s="24" t="s">
        <v>114</v>
      </c>
      <c r="C33" s="156">
        <v>16000</v>
      </c>
      <c r="D33" s="24" t="s">
        <v>6</v>
      </c>
      <c r="E33" s="24">
        <v>1200</v>
      </c>
      <c r="F33" s="24" t="s">
        <v>6</v>
      </c>
    </row>
    <row r="34" spans="1:6" ht="13.5">
      <c r="A34" s="24">
        <v>50</v>
      </c>
      <c r="B34" s="24" t="s">
        <v>114</v>
      </c>
      <c r="C34" s="156">
        <v>29200</v>
      </c>
      <c r="D34" s="24" t="s">
        <v>6</v>
      </c>
      <c r="E34" s="24">
        <v>1200</v>
      </c>
      <c r="F34" s="24" t="s">
        <v>6</v>
      </c>
    </row>
    <row r="35" spans="1:6" ht="13.5">
      <c r="A35" s="24">
        <v>75</v>
      </c>
      <c r="B35" s="24" t="s">
        <v>114</v>
      </c>
      <c r="C35" s="156">
        <v>82800</v>
      </c>
      <c r="D35" s="24" t="s">
        <v>6</v>
      </c>
      <c r="E35" s="24">
        <v>1200</v>
      </c>
      <c r="F35" s="24" t="s">
        <v>6</v>
      </c>
    </row>
    <row r="36" spans="1:6" ht="14.25" thickBot="1">
      <c r="A36" s="24">
        <v>100</v>
      </c>
      <c r="B36" s="24" t="s">
        <v>114</v>
      </c>
      <c r="C36" s="157">
        <v>176400</v>
      </c>
      <c r="D36" s="24" t="s">
        <v>6</v>
      </c>
      <c r="E36" s="24">
        <v>1200</v>
      </c>
      <c r="F36" s="24" t="s">
        <v>6</v>
      </c>
    </row>
    <row r="38" ht="13.5">
      <c r="A38" s="1" t="s">
        <v>11</v>
      </c>
    </row>
    <row r="39" spans="1:5" ht="13.5">
      <c r="A39" s="1" t="s">
        <v>5</v>
      </c>
      <c r="C39" s="1" t="s">
        <v>7</v>
      </c>
      <c r="E39" s="1" t="s">
        <v>8</v>
      </c>
    </row>
    <row r="40" spans="1:6" ht="13.5">
      <c r="A40" s="24">
        <v>20</v>
      </c>
      <c r="B40" s="24">
        <v>20</v>
      </c>
      <c r="C40" s="155">
        <v>70</v>
      </c>
      <c r="D40" s="24" t="s">
        <v>6</v>
      </c>
      <c r="E40" s="155">
        <v>70</v>
      </c>
      <c r="F40" s="24" t="s">
        <v>6</v>
      </c>
    </row>
    <row r="41" spans="1:6" ht="13.5">
      <c r="A41" s="24">
        <v>40</v>
      </c>
      <c r="B41" s="24">
        <v>20</v>
      </c>
      <c r="C41" s="156">
        <v>125</v>
      </c>
      <c r="D41" s="83">
        <f>C40*B40</f>
        <v>1400</v>
      </c>
      <c r="E41" s="156">
        <v>90</v>
      </c>
      <c r="F41" s="83">
        <f>E40*A40</f>
        <v>1400</v>
      </c>
    </row>
    <row r="42" spans="1:6" ht="13.5">
      <c r="A42" s="24">
        <v>60</v>
      </c>
      <c r="B42" s="24">
        <v>20</v>
      </c>
      <c r="C42" s="156">
        <v>150</v>
      </c>
      <c r="D42" s="83">
        <f>D41+C41*B41</f>
        <v>3900</v>
      </c>
      <c r="E42" s="156">
        <v>120</v>
      </c>
      <c r="F42" s="83">
        <f>F41+E41*B41</f>
        <v>3200</v>
      </c>
    </row>
    <row r="43" spans="1:6" ht="13.5">
      <c r="A43" s="24">
        <v>100</v>
      </c>
      <c r="B43" s="24">
        <v>40</v>
      </c>
      <c r="C43" s="156">
        <v>180</v>
      </c>
      <c r="D43" s="83">
        <f>D42+C42*B42</f>
        <v>6900</v>
      </c>
      <c r="E43" s="156">
        <v>120</v>
      </c>
      <c r="F43" s="83">
        <f>F42+E42*B42</f>
        <v>5600</v>
      </c>
    </row>
    <row r="44" spans="1:6" ht="14.25" thickBot="1">
      <c r="A44" s="24">
        <v>200</v>
      </c>
      <c r="B44" s="24">
        <v>100</v>
      </c>
      <c r="C44" s="156">
        <v>220</v>
      </c>
      <c r="D44" s="83">
        <f>D43+C43*B43</f>
        <v>14100</v>
      </c>
      <c r="E44" s="157">
        <v>150</v>
      </c>
      <c r="F44" s="83">
        <f>F43+E43*B43</f>
        <v>10400</v>
      </c>
    </row>
    <row r="45" spans="1:6" ht="14.25" thickBot="1">
      <c r="A45" s="24" t="s">
        <v>115</v>
      </c>
      <c r="B45" s="24" t="s">
        <v>116</v>
      </c>
      <c r="C45" s="157">
        <v>245</v>
      </c>
      <c r="D45" s="83">
        <f>D44+C44*B44</f>
        <v>36100</v>
      </c>
      <c r="E45" s="157">
        <v>150</v>
      </c>
      <c r="F45" s="83">
        <f>F44+E44*B44</f>
        <v>25400</v>
      </c>
    </row>
  </sheetData>
  <sheetProtection/>
  <mergeCells count="1">
    <mergeCell ref="A1:C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30" customHeight="1"/>
  <cols>
    <col min="1" max="5" width="20.625" style="0" customWidth="1"/>
  </cols>
  <sheetData>
    <row r="1" spans="1:7" s="119" customFormat="1" ht="30.75" customHeight="1" thickBot="1">
      <c r="A1" s="172" t="s">
        <v>81</v>
      </c>
      <c r="B1" s="172"/>
      <c r="C1" s="172"/>
      <c r="D1" s="172"/>
      <c r="E1" s="172"/>
      <c r="F1" s="172"/>
      <c r="G1" s="172"/>
    </row>
    <row r="2" spans="1:3" s="119" customFormat="1" ht="19.5" customHeight="1">
      <c r="A2" s="120" t="s">
        <v>120</v>
      </c>
      <c r="B2" s="121">
        <v>13</v>
      </c>
      <c r="C2" s="122" t="s">
        <v>108</v>
      </c>
    </row>
    <row r="3" spans="1:3" s="119" customFormat="1" ht="19.5" customHeight="1">
      <c r="A3" s="123" t="s">
        <v>2</v>
      </c>
      <c r="B3" s="124"/>
      <c r="C3" s="125" t="s">
        <v>118</v>
      </c>
    </row>
    <row r="4" spans="1:3" s="119" customFormat="1" ht="19.5" customHeight="1">
      <c r="A4" s="123" t="s">
        <v>1</v>
      </c>
      <c r="B4" s="124"/>
      <c r="C4" s="125" t="s">
        <v>118</v>
      </c>
    </row>
    <row r="5" spans="1:3" s="119" customFormat="1" ht="19.5" customHeight="1" thickBot="1">
      <c r="A5" s="126" t="s">
        <v>22</v>
      </c>
      <c r="B5" s="127"/>
      <c r="C5" s="128" t="s">
        <v>23</v>
      </c>
    </row>
    <row r="6" spans="1:5" s="119" customFormat="1" ht="24.75" customHeight="1" thickBot="1">
      <c r="A6" s="173" t="s">
        <v>107</v>
      </c>
      <c r="B6" s="173"/>
      <c r="C6" s="173"/>
      <c r="D6" s="129"/>
      <c r="E6" s="129"/>
    </row>
    <row r="7" spans="1:5" s="119" customFormat="1" ht="19.5" customHeight="1" thickBot="1">
      <c r="A7" s="130"/>
      <c r="B7" s="131" t="s">
        <v>3</v>
      </c>
      <c r="C7" s="132" t="s">
        <v>11</v>
      </c>
      <c r="D7" s="132" t="s">
        <v>10</v>
      </c>
      <c r="E7" s="132" t="s">
        <v>12</v>
      </c>
    </row>
    <row r="8" spans="1:5" s="119" customFormat="1" ht="19.5" customHeight="1" thickBot="1">
      <c r="A8" s="131" t="s">
        <v>7</v>
      </c>
      <c r="B8" s="133">
        <f>B15*B5</f>
        <v>0</v>
      </c>
      <c r="C8" s="133" t="e">
        <f>B13*B5+E13</f>
        <v>#DIV/0!</v>
      </c>
      <c r="D8" s="133" t="e">
        <f>INT((B15*B5+B13*B5+E13)*0.1)</f>
        <v>#DIV/0!</v>
      </c>
      <c r="E8" s="133" t="e">
        <f>SUM(B8:D8)</f>
        <v>#DIV/0!</v>
      </c>
    </row>
    <row r="9" spans="1:5" s="119" customFormat="1" ht="19.5" customHeight="1" thickBot="1">
      <c r="A9" s="131" t="s">
        <v>8</v>
      </c>
      <c r="B9" s="133">
        <f>IF(B4&lt;&gt;0,B21*B5,"")</f>
      </c>
      <c r="C9" s="133">
        <f>IF(B4&lt;&gt;0,B19*B5+E19,"")</f>
      </c>
      <c r="D9" s="133">
        <f>IF(B4&lt;&gt;0,INT((B21*B5+B19*B5+E19)*0.1),"")</f>
      </c>
      <c r="E9" s="133">
        <f>IF(B4&lt;&gt;0,SUM(B9:D9),"")</f>
      </c>
    </row>
    <row r="10" spans="1:5" s="119" customFormat="1" ht="19.5" customHeight="1" thickBot="1">
      <c r="A10" s="131" t="s">
        <v>9</v>
      </c>
      <c r="B10" s="133">
        <f>SUM(B8:B9)</f>
        <v>0</v>
      </c>
      <c r="C10" s="133" t="e">
        <f>SUM(C8:C9)</f>
        <v>#DIV/0!</v>
      </c>
      <c r="D10" s="133" t="e">
        <f>SUM(D8:D9)</f>
        <v>#DIV/0!</v>
      </c>
      <c r="E10" s="133" t="e">
        <f>SUM(E8:E9)</f>
        <v>#DIV/0!</v>
      </c>
    </row>
    <row r="11" spans="1:5" s="119" customFormat="1" ht="24.75" customHeight="1" thickBot="1">
      <c r="A11" s="163" t="s">
        <v>106</v>
      </c>
      <c r="B11" s="163"/>
      <c r="C11" s="163"/>
      <c r="D11" s="118"/>
      <c r="E11" s="118"/>
    </row>
    <row r="12" spans="1:5" ht="19.5" customHeight="1">
      <c r="A12" s="158" t="s">
        <v>121</v>
      </c>
      <c r="B12" s="166" t="e">
        <f>B3&amp;"㎥　［全体の使用水量］　÷　"&amp;B5&amp;" 戸　［承認戸数］　＝　"&amp;INT(B3/B5)&amp;"㎥　［１戸当たりの水量］　・・・余り　"&amp;B3-(INT(B3/B5)*B5)&amp;"　㎥"</f>
        <v>#DIV/0!</v>
      </c>
      <c r="C12" s="166"/>
      <c r="D12" s="166"/>
      <c r="E12" s="167"/>
    </row>
    <row r="13" spans="1:6" ht="19.5" customHeight="1">
      <c r="A13" s="159" t="s">
        <v>122</v>
      </c>
      <c r="B13" s="168" t="e">
        <f>IF(INT(B3/B5)&lt;='新基準料金'!B22,INT(B3/B5)*'新基準料金'!C22,IF(INT(B3/B5)&lt;='新基準料金'!B23,(INT(B3/B5)-'新基準料金'!B22)*'新基準料金'!C23+'新基準料金'!F23,IF(INT(B3/B5)&lt;='新基準料金'!B24,(INT(B3/B5)-'新基準料金'!B23)*'新基準料金'!C24+'新基準料金'!F24,IF(INT(B3/B5)&lt;='新基準料金'!B25,(INT(B3/B5)-'新基準料金'!B24)*'新基準料金'!C25+'新基準料金'!F25,IF(INT(B3/B5)&lt;='新基準料金'!B26,(INT(B3/B5)-'新基準料金'!B25)*'新基準料金'!C26+'新基準料金'!F26,(INT(B3/B5)-'新基準料金'!B26)*'新基準料金'!C27+'新基準料金'!F27)))))</f>
        <v>#DIV/0!</v>
      </c>
      <c r="C13" s="168"/>
      <c r="D13" s="161" t="s">
        <v>102</v>
      </c>
      <c r="E13" s="134" t="e">
        <f>IF(INT(B3/B5)&lt;'新基準料金'!B22,(B3-(INT(B3/B5)*B5))*'新基準料金'!C22,IF(INT(B3/B5)&lt;'新基準料金'!B23,(B3-(INT(B3/B5)*B5))*'新基準料金'!C23,IF(INT(B3/B5)&lt;'新基準料金'!B24,(B3-(INT(B3/B5)*B5))*'新基準料金'!C24,IF(INT(B3/B5)&lt;'新基準料金'!B25,(B3-(INT(B3/B5)*B5))*'新基準料金'!C25,IF(INT(B3/B5)&lt;'新基準料金'!B26,(B3-(INT(B3/B5)*B5))*'新基準料金'!C26,IF(INT(B3/B4)&lt;'集合住宅'!A27,(B3-(INT(B3/B5)*B5)))*'新基準料金'!C27)))))</f>
        <v>#DIV/0!</v>
      </c>
      <c r="F13" s="118"/>
    </row>
    <row r="14" spans="1:5" ht="19.5" customHeight="1">
      <c r="A14" s="159" t="s">
        <v>103</v>
      </c>
      <c r="B14" s="169" t="e">
        <f>"１戸当たり  "&amp;B13&amp;" 円　×　"&amp;B5&amp;"　戸　＋　余り水量料金　"&amp;E13&amp;"　円　＝　"&amp;B13*B5+E13&amp;"　円"</f>
        <v>#DIV/0!</v>
      </c>
      <c r="C14" s="170"/>
      <c r="D14" s="170"/>
      <c r="E14" s="171"/>
    </row>
    <row r="15" spans="1:5" ht="19.5" customHeight="1">
      <c r="A15" s="159" t="s">
        <v>123</v>
      </c>
      <c r="B15" s="135">
        <f>SUMIF('新基準料金'!A4:A11,'集合住宅'!B2,'新基準料金'!B4:B11)</f>
        <v>1000</v>
      </c>
      <c r="C15" s="159" t="s">
        <v>104</v>
      </c>
      <c r="D15" s="169" t="str">
        <f>B15&amp;" 円　×　"&amp;B5&amp;" 戸　＝　"&amp;B15*B5&amp;" 円"</f>
        <v>1000 円　×　 戸　＝　0 円</v>
      </c>
      <c r="E15" s="171"/>
    </row>
    <row r="16" spans="1:5" ht="19.5" customHeight="1" thickBot="1">
      <c r="A16" s="160" t="s">
        <v>105</v>
      </c>
      <c r="B16" s="164" t="e">
        <f>"基本料金　"&amp;B15*B5&amp;"　円　＋　従量料金　"&amp;B13*B5+E13&amp;"　円　＋消費税　"&amp;INT((B15*B5+B13*B5+E13)*0.1)&amp;"　円　＝　"&amp;INT((B15*B5+B13*B5+E13)*1.1)&amp;"　円"</f>
        <v>#DIV/0!</v>
      </c>
      <c r="C16" s="164"/>
      <c r="D16" s="164"/>
      <c r="E16" s="165"/>
    </row>
    <row r="17" spans="1:5" ht="24.75" customHeight="1" thickBot="1">
      <c r="A17" s="163" t="s">
        <v>109</v>
      </c>
      <c r="B17" s="163"/>
      <c r="C17" s="163"/>
      <c r="D17" s="136"/>
      <c r="E17" s="136"/>
    </row>
    <row r="18" spans="1:5" ht="19.5" customHeight="1">
      <c r="A18" s="158" t="s">
        <v>124</v>
      </c>
      <c r="B18" s="166" t="e">
        <f>B4&amp;"㎥　［全体の使用水量］　÷　"&amp;B5&amp;" 戸　［承認戸数］　＝　"&amp;INT(B4/B5)&amp;"㎥　［１戸当たりの水量］　・・・余り　"&amp;B4-(INT(B4/B5)*B5)&amp;"　㎥"</f>
        <v>#DIV/0!</v>
      </c>
      <c r="C18" s="166"/>
      <c r="D18" s="166"/>
      <c r="E18" s="167"/>
    </row>
    <row r="19" spans="1:6" ht="19.5" customHeight="1">
      <c r="A19" s="159" t="s">
        <v>122</v>
      </c>
      <c r="B19" s="168" t="e">
        <f>IF(INT(B4/B5)&lt;='新基準料金'!B40,INT(B4/B5)*'新基準料金'!C40,IF(INT(B4/B5)&lt;='新基準料金'!B41,(INT(B4/B5)-'新基準料金'!B40)*'新基準料金'!C41+'新基準料金'!F41,IF(INT(B4/B5)&lt;='新基準料金'!B42,(INT(B4/B5)-'新基準料金'!B41)*'新基準料金'!C42+'新基準料金'!F42,(INT(B4/B5)-'新基準料金'!B42)*'新基準料金'!C43+'新基準料金'!F43)))</f>
        <v>#DIV/0!</v>
      </c>
      <c r="C19" s="168"/>
      <c r="D19" s="161" t="s">
        <v>102</v>
      </c>
      <c r="E19" s="134" t="e">
        <f>IF(INT(B4/B5)&lt;'新基準料金'!B40,(B4-(INT(B4/B5)*B5))*'新基準料金'!C40,IF(INT(B4/B5)&lt;'新基準料金'!B41,(B4-(INT(B4/B5)*B5))*'新基準料金'!C41,IF(INT(B4/B5)&lt;'新基準料金'!B42,(B4-(INT(B4/B5)*B5))*'新基準料金'!C42,(B4-(INT(B4/B5)*B5))*'新基準料金'!C43)))</f>
        <v>#DIV/0!</v>
      </c>
      <c r="F19" s="118"/>
    </row>
    <row r="20" spans="1:5" ht="19.5" customHeight="1">
      <c r="A20" s="159" t="s">
        <v>103</v>
      </c>
      <c r="B20" s="169" t="e">
        <f>"１戸当たり  "&amp;B19&amp;" 円　×　"&amp;B5&amp;"　戸　＋　余り水量料金　"&amp;E19&amp;"　円　＝　"&amp;B19*B5+E19&amp;"　円"</f>
        <v>#DIV/0!</v>
      </c>
      <c r="C20" s="170"/>
      <c r="D20" s="170"/>
      <c r="E20" s="171"/>
    </row>
    <row r="21" spans="1:5" ht="19.5" customHeight="1">
      <c r="A21" s="159" t="s">
        <v>123</v>
      </c>
      <c r="B21" s="135">
        <f>'新基準料金'!B31</f>
        <v>1200</v>
      </c>
      <c r="C21" s="159" t="s">
        <v>104</v>
      </c>
      <c r="D21" s="169" t="str">
        <f>B21&amp;" 円　×　"&amp;B5&amp;" 戸　＝　"&amp;B21*B5&amp;" 円"</f>
        <v>1200 円　×　 戸　＝　0 円</v>
      </c>
      <c r="E21" s="171"/>
    </row>
    <row r="22" spans="1:5" ht="19.5" customHeight="1" thickBot="1">
      <c r="A22" s="160" t="s">
        <v>105</v>
      </c>
      <c r="B22" s="164" t="e">
        <f>"基本料金　"&amp;B21*B5&amp;"　円　＋　従量料金　"&amp;B19*B5+E19&amp;"　円　＋消費税　"&amp;INT((B21*B5+B19*B5+E19)*0.1)&amp;"　円　＝　"&amp;INT((B21*B5+B19*B5+E19)*1.1)&amp;"　円"</f>
        <v>#DIV/0!</v>
      </c>
      <c r="C22" s="164"/>
      <c r="D22" s="164"/>
      <c r="E22" s="165"/>
    </row>
  </sheetData>
  <sheetProtection/>
  <mergeCells count="14">
    <mergeCell ref="A1:G1"/>
    <mergeCell ref="B12:E12"/>
    <mergeCell ref="B14:E14"/>
    <mergeCell ref="B16:E16"/>
    <mergeCell ref="B13:C13"/>
    <mergeCell ref="A6:C6"/>
    <mergeCell ref="D15:E15"/>
    <mergeCell ref="A11:C11"/>
    <mergeCell ref="A17:C17"/>
    <mergeCell ref="B22:E22"/>
    <mergeCell ref="B18:E18"/>
    <mergeCell ref="B19:C19"/>
    <mergeCell ref="B20:E20"/>
    <mergeCell ref="D21:E21"/>
  </mergeCells>
  <printOptions/>
  <pageMargins left="0.75" right="0.75" top="1" bottom="1" header="0.512" footer="0.51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6" sqref="A6:C6"/>
    </sheetView>
  </sheetViews>
  <sheetFormatPr defaultColWidth="8.875" defaultRowHeight="13.5"/>
  <cols>
    <col min="1" max="1" width="11.625" style="104" bestFit="1" customWidth="1"/>
    <col min="2" max="2" width="11.625" style="104" customWidth="1"/>
    <col min="3" max="3" width="11.625" style="107" bestFit="1" customWidth="1"/>
    <col min="4" max="6" width="8.50390625" style="107" bestFit="1" customWidth="1"/>
    <col min="7" max="7" width="11.625" style="107" bestFit="1" customWidth="1"/>
    <col min="8" max="8" width="11.625" style="107" customWidth="1"/>
    <col min="9" max="9" width="8.875" style="107" customWidth="1"/>
    <col min="10" max="10" width="9.375" style="107" customWidth="1"/>
    <col min="11" max="11" width="7.00390625" style="107" bestFit="1" customWidth="1"/>
    <col min="12" max="12" width="8.00390625" style="107" customWidth="1"/>
    <col min="13" max="16384" width="8.875" style="107" customWidth="1"/>
  </cols>
  <sheetData>
    <row r="1" spans="3:9" ht="20.25" customHeight="1">
      <c r="C1" s="36" t="s">
        <v>101</v>
      </c>
      <c r="D1" s="36"/>
      <c r="E1" s="36"/>
      <c r="F1" s="148"/>
      <c r="G1" s="149" t="s">
        <v>110</v>
      </c>
      <c r="H1" s="36"/>
      <c r="I1" s="36"/>
    </row>
    <row r="2" spans="1:9" ht="20.25" customHeight="1" thickBot="1">
      <c r="A2" s="38" t="s">
        <v>38</v>
      </c>
      <c r="B2" s="38"/>
      <c r="C2" s="115"/>
      <c r="D2" s="115"/>
      <c r="E2" s="39"/>
      <c r="F2" s="39"/>
      <c r="G2" s="39"/>
      <c r="H2" s="39"/>
      <c r="I2" s="39"/>
    </row>
    <row r="3" spans="1:4" s="104" customFormat="1" ht="14.25" thickBot="1">
      <c r="A3" s="40" t="s">
        <v>4</v>
      </c>
      <c r="B3" s="42" t="s">
        <v>100</v>
      </c>
      <c r="C3" s="106"/>
      <c r="D3" s="105"/>
    </row>
    <row r="4" spans="1:4" ht="14.25" thickTop="1">
      <c r="A4" s="137">
        <v>13</v>
      </c>
      <c r="B4" s="138">
        <v>1000</v>
      </c>
      <c r="C4" s="114"/>
      <c r="D4" s="113"/>
    </row>
    <row r="5" spans="1:4" ht="13.5">
      <c r="A5" s="139">
        <v>20</v>
      </c>
      <c r="B5" s="140">
        <v>2200</v>
      </c>
      <c r="C5" s="114"/>
      <c r="D5" s="113"/>
    </row>
    <row r="6" spans="1:4" ht="13.5">
      <c r="A6" s="139">
        <v>25</v>
      </c>
      <c r="B6" s="140">
        <v>4800</v>
      </c>
      <c r="C6" s="114"/>
      <c r="D6" s="113"/>
    </row>
    <row r="7" spans="1:4" ht="13.5">
      <c r="A7" s="139">
        <v>30</v>
      </c>
      <c r="B7" s="140">
        <v>4800</v>
      </c>
      <c r="C7" s="114"/>
      <c r="D7" s="113"/>
    </row>
    <row r="8" spans="1:4" ht="13.5">
      <c r="A8" s="139">
        <v>40</v>
      </c>
      <c r="B8" s="140">
        <v>16000</v>
      </c>
      <c r="C8" s="114"/>
      <c r="D8" s="113"/>
    </row>
    <row r="9" spans="1:4" ht="13.5">
      <c r="A9" s="139">
        <v>50</v>
      </c>
      <c r="B9" s="140">
        <v>29200</v>
      </c>
      <c r="C9" s="114"/>
      <c r="D9" s="113"/>
    </row>
    <row r="10" spans="1:4" ht="13.5">
      <c r="A10" s="139">
        <v>75</v>
      </c>
      <c r="B10" s="140">
        <v>82800</v>
      </c>
      <c r="C10" s="114"/>
      <c r="D10" s="113"/>
    </row>
    <row r="11" spans="1:4" ht="14.25" thickBot="1">
      <c r="A11" s="141">
        <v>100</v>
      </c>
      <c r="B11" s="142">
        <v>176400</v>
      </c>
      <c r="C11" s="114"/>
      <c r="D11" s="113"/>
    </row>
    <row r="12" spans="1:4" ht="14.25" thickBot="1">
      <c r="A12" s="60" t="s">
        <v>50</v>
      </c>
      <c r="B12" s="60"/>
      <c r="C12" s="86"/>
      <c r="D12" s="116"/>
    </row>
    <row r="13" spans="1:4" s="104" customFormat="1" ht="14.25" thickBot="1">
      <c r="A13" s="43" t="s">
        <v>51</v>
      </c>
      <c r="B13" s="44" t="s">
        <v>52</v>
      </c>
      <c r="C13" s="42" t="s">
        <v>99</v>
      </c>
      <c r="D13" s="106"/>
    </row>
    <row r="14" spans="1:4" ht="14.25" thickTop="1">
      <c r="A14" s="64" t="s">
        <v>82</v>
      </c>
      <c r="B14" s="65" t="s">
        <v>83</v>
      </c>
      <c r="C14" s="138">
        <v>70</v>
      </c>
      <c r="D14" s="114"/>
    </row>
    <row r="15" spans="1:4" ht="13.5">
      <c r="A15" s="72" t="s">
        <v>84</v>
      </c>
      <c r="B15" s="73" t="s">
        <v>85</v>
      </c>
      <c r="C15" s="140">
        <v>125</v>
      </c>
      <c r="D15" s="114"/>
    </row>
    <row r="16" spans="1:4" ht="13.5">
      <c r="A16" s="72" t="s">
        <v>86</v>
      </c>
      <c r="B16" s="73" t="s">
        <v>87</v>
      </c>
      <c r="C16" s="140">
        <v>150</v>
      </c>
      <c r="D16" s="114"/>
    </row>
    <row r="17" spans="1:4" ht="13.5">
      <c r="A17" s="72" t="s">
        <v>88</v>
      </c>
      <c r="B17" s="73" t="s">
        <v>89</v>
      </c>
      <c r="C17" s="140">
        <v>180</v>
      </c>
      <c r="D17" s="114"/>
    </row>
    <row r="18" spans="1:4" ht="13.5">
      <c r="A18" s="72" t="s">
        <v>90</v>
      </c>
      <c r="B18" s="73" t="s">
        <v>91</v>
      </c>
      <c r="C18" s="140">
        <v>220</v>
      </c>
      <c r="D18" s="114"/>
    </row>
    <row r="19" spans="1:4" ht="14.25" thickBot="1">
      <c r="A19" s="75" t="s">
        <v>92</v>
      </c>
      <c r="B19" s="76" t="s">
        <v>93</v>
      </c>
      <c r="C19" s="142">
        <v>245</v>
      </c>
      <c r="D19" s="114"/>
    </row>
    <row r="20" spans="1:4" ht="14.25" thickBot="1">
      <c r="A20" s="117" t="s">
        <v>73</v>
      </c>
      <c r="B20" s="60"/>
      <c r="C20" s="60"/>
      <c r="D20" s="86"/>
    </row>
    <row r="21" spans="1:6" s="104" customFormat="1" ht="14.25" thickBot="1">
      <c r="A21" s="40" t="s">
        <v>52</v>
      </c>
      <c r="B21" s="91"/>
      <c r="C21" s="61" t="s">
        <v>98</v>
      </c>
      <c r="D21" s="61" t="s">
        <v>5</v>
      </c>
      <c r="E21" s="174" t="s">
        <v>71</v>
      </c>
      <c r="F21" s="175"/>
    </row>
    <row r="22" spans="1:6" ht="14.25" thickTop="1">
      <c r="A22" s="95">
        <v>1</v>
      </c>
      <c r="B22" s="143">
        <v>20</v>
      </c>
      <c r="C22" s="109">
        <f aca="true" t="shared" si="0" ref="C22:C27">C14</f>
        <v>70</v>
      </c>
      <c r="D22" s="145">
        <v>20</v>
      </c>
      <c r="E22" s="109">
        <f>C22*D22</f>
        <v>1400</v>
      </c>
      <c r="F22" s="108"/>
    </row>
    <row r="23" spans="1:6" ht="13.5">
      <c r="A23" s="96">
        <f>B22+1</f>
        <v>21</v>
      </c>
      <c r="B23" s="144">
        <v>40</v>
      </c>
      <c r="C23" s="110">
        <f t="shared" si="0"/>
        <v>125</v>
      </c>
      <c r="D23" s="146">
        <v>20</v>
      </c>
      <c r="E23" s="109">
        <f>C23*D23</f>
        <v>2500</v>
      </c>
      <c r="F23" s="83">
        <f>E22</f>
        <v>1400</v>
      </c>
    </row>
    <row r="24" spans="1:6" ht="13.5">
      <c r="A24" s="96">
        <f>B23+1</f>
        <v>41</v>
      </c>
      <c r="B24" s="144">
        <v>60</v>
      </c>
      <c r="C24" s="110">
        <f t="shared" si="0"/>
        <v>150</v>
      </c>
      <c r="D24" s="146">
        <v>20</v>
      </c>
      <c r="E24" s="109">
        <f>C24*D24</f>
        <v>3000</v>
      </c>
      <c r="F24" s="83">
        <f>SUM(E22:E23)</f>
        <v>3900</v>
      </c>
    </row>
    <row r="25" spans="1:6" ht="13.5">
      <c r="A25" s="96">
        <f>B24+1</f>
        <v>61</v>
      </c>
      <c r="B25" s="144">
        <v>100</v>
      </c>
      <c r="C25" s="110">
        <f t="shared" si="0"/>
        <v>180</v>
      </c>
      <c r="D25" s="146">
        <v>40</v>
      </c>
      <c r="E25" s="109">
        <f>C25*D25</f>
        <v>7200</v>
      </c>
      <c r="F25" s="83">
        <f>SUM(E22:E24)</f>
        <v>6900</v>
      </c>
    </row>
    <row r="26" spans="1:6" ht="13.5">
      <c r="A26" s="96">
        <f>B25+1</f>
        <v>101</v>
      </c>
      <c r="B26" s="144">
        <v>200</v>
      </c>
      <c r="C26" s="110">
        <f t="shared" si="0"/>
        <v>220</v>
      </c>
      <c r="D26" s="146">
        <v>100</v>
      </c>
      <c r="E26" s="109">
        <f>C26*D26</f>
        <v>22000</v>
      </c>
      <c r="F26" s="83">
        <f>SUM(E22:E25)</f>
        <v>14100</v>
      </c>
    </row>
    <row r="27" spans="1:6" ht="14.25" thickBot="1">
      <c r="A27" s="96">
        <f>B26+1</f>
        <v>201</v>
      </c>
      <c r="B27" s="100"/>
      <c r="C27" s="111">
        <f t="shared" si="0"/>
        <v>245</v>
      </c>
      <c r="D27" s="111"/>
      <c r="E27" s="112"/>
      <c r="F27" s="85">
        <f>SUM(E22:E26)</f>
        <v>36100</v>
      </c>
    </row>
    <row r="28" spans="1:12" ht="13.5">
      <c r="A28" s="176" t="s">
        <v>74</v>
      </c>
      <c r="B28" s="176"/>
      <c r="C28" s="87"/>
      <c r="D28" s="87"/>
      <c r="E28" s="113"/>
      <c r="F28" s="113"/>
      <c r="G28" s="105"/>
      <c r="H28" s="105"/>
      <c r="I28" s="113"/>
      <c r="J28" s="113"/>
      <c r="K28" s="113"/>
      <c r="L28" s="113"/>
    </row>
    <row r="29" spans="1:4" ht="14.25" thickBot="1">
      <c r="A29" s="177"/>
      <c r="B29" s="177"/>
      <c r="C29" s="92"/>
      <c r="D29" s="92"/>
    </row>
    <row r="30" spans="1:3" s="104" customFormat="1" ht="14.25" thickBot="1">
      <c r="A30" s="43" t="s">
        <v>3</v>
      </c>
      <c r="B30" s="44" t="s">
        <v>54</v>
      </c>
      <c r="C30" s="106"/>
    </row>
    <row r="31" spans="1:4" ht="15" thickBot="1" thickTop="1">
      <c r="A31" s="75" t="s">
        <v>76</v>
      </c>
      <c r="B31" s="147">
        <v>1200</v>
      </c>
      <c r="C31" s="114"/>
      <c r="D31" s="113"/>
    </row>
    <row r="32" spans="1:6" ht="14.25" thickBot="1">
      <c r="A32" s="86" t="s">
        <v>77</v>
      </c>
      <c r="B32" s="86"/>
      <c r="C32" s="86"/>
      <c r="D32" s="116"/>
      <c r="E32" s="113"/>
      <c r="F32" s="113"/>
    </row>
    <row r="33" spans="1:5" s="104" customFormat="1" ht="14.25" thickBot="1">
      <c r="A33" s="43" t="s">
        <v>51</v>
      </c>
      <c r="B33" s="44" t="s">
        <v>52</v>
      </c>
      <c r="C33" s="42" t="s">
        <v>99</v>
      </c>
      <c r="D33" s="106"/>
      <c r="E33" s="105"/>
    </row>
    <row r="34" spans="1:5" ht="14.25" thickTop="1">
      <c r="A34" s="64" t="s">
        <v>82</v>
      </c>
      <c r="B34" s="65" t="s">
        <v>83</v>
      </c>
      <c r="C34" s="138">
        <v>70</v>
      </c>
      <c r="D34" s="114"/>
      <c r="E34" s="113"/>
    </row>
    <row r="35" spans="1:5" ht="13.5">
      <c r="A35" s="72" t="s">
        <v>84</v>
      </c>
      <c r="B35" s="73" t="s">
        <v>85</v>
      </c>
      <c r="C35" s="140">
        <v>90</v>
      </c>
      <c r="D35" s="114"/>
      <c r="E35" s="113"/>
    </row>
    <row r="36" spans="1:5" ht="13.5">
      <c r="A36" s="72" t="s">
        <v>94</v>
      </c>
      <c r="B36" s="73" t="s">
        <v>95</v>
      </c>
      <c r="C36" s="140">
        <v>120</v>
      </c>
      <c r="D36" s="114"/>
      <c r="E36" s="113"/>
    </row>
    <row r="37" spans="1:5" ht="14.25" thickBot="1">
      <c r="A37" s="75" t="s">
        <v>96</v>
      </c>
      <c r="B37" s="76" t="s">
        <v>92</v>
      </c>
      <c r="C37" s="142">
        <v>150</v>
      </c>
      <c r="D37" s="114"/>
      <c r="E37" s="113"/>
    </row>
    <row r="38" spans="1:4" ht="14.25" thickBot="1">
      <c r="A38" s="117" t="s">
        <v>73</v>
      </c>
      <c r="B38" s="60"/>
      <c r="C38" s="60"/>
      <c r="D38" s="60"/>
    </row>
    <row r="39" spans="1:6" s="104" customFormat="1" ht="14.25" thickBot="1">
      <c r="A39" s="40" t="s">
        <v>52</v>
      </c>
      <c r="B39" s="91"/>
      <c r="C39" s="61" t="s">
        <v>97</v>
      </c>
      <c r="D39" s="61" t="s">
        <v>5</v>
      </c>
      <c r="E39" s="174" t="s">
        <v>71</v>
      </c>
      <c r="F39" s="175"/>
    </row>
    <row r="40" spans="1:6" ht="14.25" thickTop="1">
      <c r="A40" s="101">
        <v>1</v>
      </c>
      <c r="B40" s="143">
        <v>20</v>
      </c>
      <c r="C40" s="109">
        <f>C34</f>
        <v>70</v>
      </c>
      <c r="D40" s="145">
        <v>20</v>
      </c>
      <c r="E40" s="109">
        <f>C40*D40</f>
        <v>1400</v>
      </c>
      <c r="F40" s="108"/>
    </row>
    <row r="41" spans="1:6" ht="13.5">
      <c r="A41" s="96">
        <f>B40+1</f>
        <v>21</v>
      </c>
      <c r="B41" s="144">
        <v>40</v>
      </c>
      <c r="C41" s="110">
        <f>C35</f>
        <v>90</v>
      </c>
      <c r="D41" s="146">
        <v>20</v>
      </c>
      <c r="E41" s="109">
        <f>C41*D41</f>
        <v>1800</v>
      </c>
      <c r="F41" s="83">
        <f>SUM(E40)</f>
        <v>1400</v>
      </c>
    </row>
    <row r="42" spans="1:6" ht="13.5">
      <c r="A42" s="96">
        <f>B41+1</f>
        <v>41</v>
      </c>
      <c r="B42" s="144">
        <v>100</v>
      </c>
      <c r="C42" s="110">
        <f>C36</f>
        <v>120</v>
      </c>
      <c r="D42" s="146">
        <v>60</v>
      </c>
      <c r="E42" s="109">
        <f>C42*D42</f>
        <v>7200</v>
      </c>
      <c r="F42" s="83">
        <f>SUM(E40:E41)</f>
        <v>3200</v>
      </c>
    </row>
    <row r="43" spans="1:6" ht="14.25" thickBot="1">
      <c r="A43" s="97">
        <f>B42+1</f>
        <v>101</v>
      </c>
      <c r="B43" s="100"/>
      <c r="C43" s="111">
        <f>C37</f>
        <v>150</v>
      </c>
      <c r="D43" s="111"/>
      <c r="E43" s="112"/>
      <c r="F43" s="85">
        <f>SUM(E40:E42)</f>
        <v>10400</v>
      </c>
    </row>
  </sheetData>
  <sheetProtection/>
  <mergeCells count="3">
    <mergeCell ref="E39:F39"/>
    <mergeCell ref="A28:B29"/>
    <mergeCell ref="E21:F2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6" sqref="A6:C6"/>
    </sheetView>
  </sheetViews>
  <sheetFormatPr defaultColWidth="8.875" defaultRowHeight="13.5"/>
  <cols>
    <col min="1" max="1" width="11.625" style="35" bestFit="1" customWidth="1"/>
    <col min="2" max="2" width="11.625" style="35" customWidth="1"/>
    <col min="3" max="3" width="11.625" style="37" bestFit="1" customWidth="1"/>
    <col min="4" max="6" width="8.50390625" style="37" bestFit="1" customWidth="1"/>
    <col min="7" max="7" width="11.625" style="37" bestFit="1" customWidth="1"/>
    <col min="8" max="8" width="11.625" style="37" customWidth="1"/>
    <col min="9" max="9" width="8.875" style="37" customWidth="1"/>
    <col min="10" max="10" width="9.375" style="37" customWidth="1"/>
    <col min="11" max="11" width="7.00390625" style="37" bestFit="1" customWidth="1"/>
    <col min="12" max="12" width="8.00390625" style="37" customWidth="1"/>
    <col min="13" max="16384" width="8.875" style="37" customWidth="1"/>
  </cols>
  <sheetData>
    <row r="1" spans="3:9" ht="20.25" customHeight="1">
      <c r="C1" s="186" t="s">
        <v>37</v>
      </c>
      <c r="D1" s="186"/>
      <c r="E1" s="186"/>
      <c r="F1" s="186"/>
      <c r="G1" s="186"/>
      <c r="H1" s="186"/>
      <c r="I1" s="186"/>
    </row>
    <row r="2" spans="1:9" ht="20.25" customHeight="1" thickBot="1">
      <c r="A2" s="187" t="s">
        <v>38</v>
      </c>
      <c r="B2" s="187"/>
      <c r="C2" s="187"/>
      <c r="D2" s="187"/>
      <c r="E2" s="39"/>
      <c r="F2" s="39"/>
      <c r="G2" s="39"/>
      <c r="H2" s="39"/>
      <c r="I2" s="39"/>
    </row>
    <row r="3" spans="1:5" s="35" customFormat="1" ht="14.25" thickBot="1">
      <c r="A3" s="40" t="s">
        <v>4</v>
      </c>
      <c r="B3" s="41" t="s">
        <v>39</v>
      </c>
      <c r="C3" s="42" t="s">
        <v>40</v>
      </c>
      <c r="D3" s="43" t="s">
        <v>41</v>
      </c>
      <c r="E3" s="44" t="s">
        <v>42</v>
      </c>
    </row>
    <row r="4" spans="1:5" ht="14.25" thickTop="1">
      <c r="A4" s="45" t="s">
        <v>43</v>
      </c>
      <c r="B4" s="46">
        <v>800</v>
      </c>
      <c r="C4" s="47">
        <v>1000</v>
      </c>
      <c r="D4" s="48">
        <v>400</v>
      </c>
      <c r="E4" s="49">
        <v>500</v>
      </c>
    </row>
    <row r="5" spans="1:5" ht="13.5">
      <c r="A5" s="50" t="s">
        <v>44</v>
      </c>
      <c r="B5" s="51">
        <v>2000</v>
      </c>
      <c r="C5" s="52">
        <v>2200</v>
      </c>
      <c r="D5" s="53">
        <v>1000</v>
      </c>
      <c r="E5" s="54">
        <v>1100</v>
      </c>
    </row>
    <row r="6" spans="1:5" ht="13.5">
      <c r="A6" s="50" t="s">
        <v>45</v>
      </c>
      <c r="B6" s="51">
        <v>4600</v>
      </c>
      <c r="C6" s="52">
        <v>4800</v>
      </c>
      <c r="D6" s="53">
        <v>2300</v>
      </c>
      <c r="E6" s="54">
        <v>2400</v>
      </c>
    </row>
    <row r="7" spans="1:5" ht="13.5">
      <c r="A7" s="50" t="s">
        <v>46</v>
      </c>
      <c r="B7" s="51">
        <v>15800</v>
      </c>
      <c r="C7" s="52">
        <v>16000</v>
      </c>
      <c r="D7" s="53">
        <v>7900</v>
      </c>
      <c r="E7" s="54">
        <v>8000</v>
      </c>
    </row>
    <row r="8" spans="1:5" ht="13.5">
      <c r="A8" s="50" t="s">
        <v>47</v>
      </c>
      <c r="B8" s="51">
        <v>29000</v>
      </c>
      <c r="C8" s="52">
        <v>29200</v>
      </c>
      <c r="D8" s="53">
        <v>14500</v>
      </c>
      <c r="E8" s="54">
        <v>14600</v>
      </c>
    </row>
    <row r="9" spans="1:5" ht="13.5">
      <c r="A9" s="50" t="s">
        <v>48</v>
      </c>
      <c r="B9" s="51">
        <v>82600</v>
      </c>
      <c r="C9" s="52">
        <v>82800</v>
      </c>
      <c r="D9" s="53">
        <v>41300</v>
      </c>
      <c r="E9" s="54">
        <v>41400</v>
      </c>
    </row>
    <row r="10" spans="1:5" ht="14.25" thickBot="1">
      <c r="A10" s="55" t="s">
        <v>49</v>
      </c>
      <c r="B10" s="56">
        <v>176200</v>
      </c>
      <c r="C10" s="57">
        <v>176400</v>
      </c>
      <c r="D10" s="58">
        <v>88100</v>
      </c>
      <c r="E10" s="59">
        <v>88200</v>
      </c>
    </row>
    <row r="11" spans="1:4" ht="14.25" thickBot="1">
      <c r="A11" s="181" t="s">
        <v>50</v>
      </c>
      <c r="B11" s="181"/>
      <c r="C11" s="181"/>
      <c r="D11" s="181"/>
    </row>
    <row r="12" spans="1:10" s="35" customFormat="1" ht="14.25" thickBot="1">
      <c r="A12" s="43" t="s">
        <v>51</v>
      </c>
      <c r="B12" s="44" t="s">
        <v>52</v>
      </c>
      <c r="C12" s="61" t="s">
        <v>53</v>
      </c>
      <c r="D12" s="42" t="s">
        <v>54</v>
      </c>
      <c r="E12" s="182" t="s">
        <v>55</v>
      </c>
      <c r="F12" s="183"/>
      <c r="G12" s="62" t="s">
        <v>5</v>
      </c>
      <c r="H12" s="184" t="s">
        <v>56</v>
      </c>
      <c r="I12" s="183"/>
      <c r="J12" s="63" t="s">
        <v>5</v>
      </c>
    </row>
    <row r="13" spans="1:10" ht="14.25" thickTop="1">
      <c r="A13" s="64" t="s">
        <v>57</v>
      </c>
      <c r="B13" s="65" t="s">
        <v>58</v>
      </c>
      <c r="C13" s="66">
        <v>65</v>
      </c>
      <c r="D13" s="47">
        <v>70</v>
      </c>
      <c r="E13" s="67">
        <v>1</v>
      </c>
      <c r="F13" s="68">
        <v>10</v>
      </c>
      <c r="G13" s="69">
        <f>F13-E13+1</f>
        <v>10</v>
      </c>
      <c r="H13" s="70">
        <v>1</v>
      </c>
      <c r="I13" s="68">
        <f>F13*2</f>
        <v>20</v>
      </c>
      <c r="J13" s="71">
        <f>I13-H13+1</f>
        <v>20</v>
      </c>
    </row>
    <row r="14" spans="1:10" ht="13.5">
      <c r="A14" s="72" t="s">
        <v>59</v>
      </c>
      <c r="B14" s="73" t="s">
        <v>60</v>
      </c>
      <c r="C14" s="74">
        <v>115</v>
      </c>
      <c r="D14" s="52">
        <v>125</v>
      </c>
      <c r="E14" s="67">
        <v>11</v>
      </c>
      <c r="F14" s="68">
        <v>20</v>
      </c>
      <c r="G14" s="69">
        <f>F14-E14+1</f>
        <v>10</v>
      </c>
      <c r="H14" s="70">
        <f>(E14-1)*2</f>
        <v>20</v>
      </c>
      <c r="I14" s="68">
        <f>F14*2</f>
        <v>40</v>
      </c>
      <c r="J14" s="71">
        <f>I14-H14</f>
        <v>20</v>
      </c>
    </row>
    <row r="15" spans="1:10" ht="13.5">
      <c r="A15" s="72" t="s">
        <v>61</v>
      </c>
      <c r="B15" s="73" t="s">
        <v>62</v>
      </c>
      <c r="C15" s="74">
        <v>140</v>
      </c>
      <c r="D15" s="52">
        <v>150</v>
      </c>
      <c r="E15" s="67">
        <v>21</v>
      </c>
      <c r="F15" s="68">
        <v>30</v>
      </c>
      <c r="G15" s="69">
        <f>F15-E15+1</f>
        <v>10</v>
      </c>
      <c r="H15" s="70">
        <f>(E15-1)*2</f>
        <v>40</v>
      </c>
      <c r="I15" s="68">
        <f>F15*2</f>
        <v>60</v>
      </c>
      <c r="J15" s="71">
        <f>I15-H15</f>
        <v>20</v>
      </c>
    </row>
    <row r="16" spans="1:10" ht="13.5">
      <c r="A16" s="72" t="s">
        <v>63</v>
      </c>
      <c r="B16" s="73" t="s">
        <v>64</v>
      </c>
      <c r="C16" s="74">
        <v>170</v>
      </c>
      <c r="D16" s="52">
        <v>180</v>
      </c>
      <c r="E16" s="67">
        <v>31</v>
      </c>
      <c r="F16" s="68">
        <v>50</v>
      </c>
      <c r="G16" s="69">
        <f>F16-E16+1</f>
        <v>20</v>
      </c>
      <c r="H16" s="70">
        <f>(E16-1)*2</f>
        <v>60</v>
      </c>
      <c r="I16" s="68">
        <f>F16*2</f>
        <v>100</v>
      </c>
      <c r="J16" s="71">
        <f>I16-H16</f>
        <v>40</v>
      </c>
    </row>
    <row r="17" spans="1:10" ht="13.5">
      <c r="A17" s="72" t="s">
        <v>65</v>
      </c>
      <c r="B17" s="73" t="s">
        <v>66</v>
      </c>
      <c r="C17" s="74">
        <v>205</v>
      </c>
      <c r="D17" s="52">
        <v>220</v>
      </c>
      <c r="E17" s="67">
        <v>51</v>
      </c>
      <c r="F17" s="68">
        <v>100</v>
      </c>
      <c r="G17" s="69">
        <f>F17-E17+1</f>
        <v>50</v>
      </c>
      <c r="H17" s="70">
        <f>(E17-1)*2</f>
        <v>100</v>
      </c>
      <c r="I17" s="68">
        <f>F17*2</f>
        <v>200</v>
      </c>
      <c r="J17" s="71">
        <f>I17-H17</f>
        <v>100</v>
      </c>
    </row>
    <row r="18" spans="1:10" ht="14.25" thickBot="1">
      <c r="A18" s="75" t="s">
        <v>67</v>
      </c>
      <c r="B18" s="76" t="s">
        <v>68</v>
      </c>
      <c r="C18" s="77">
        <v>230</v>
      </c>
      <c r="D18" s="57">
        <v>245</v>
      </c>
      <c r="E18" s="78">
        <v>101</v>
      </c>
      <c r="F18" s="79"/>
      <c r="G18" s="80"/>
      <c r="H18" s="81">
        <f>(E18-1)*2</f>
        <v>200</v>
      </c>
      <c r="I18" s="79"/>
      <c r="J18" s="82"/>
    </row>
    <row r="19" spans="1:4" ht="14.25" thickBot="1">
      <c r="A19" s="181" t="s">
        <v>69</v>
      </c>
      <c r="B19" s="181"/>
      <c r="C19" s="181"/>
      <c r="D19" s="181"/>
    </row>
    <row r="20" spans="1:10" s="35" customFormat="1" ht="14.25" thickBot="1">
      <c r="A20" s="179" t="s">
        <v>51</v>
      </c>
      <c r="B20" s="180"/>
      <c r="C20" s="61" t="s">
        <v>70</v>
      </c>
      <c r="D20" s="61" t="s">
        <v>5</v>
      </c>
      <c r="E20" s="174" t="s">
        <v>71</v>
      </c>
      <c r="F20" s="175"/>
      <c r="G20" s="61" t="s">
        <v>72</v>
      </c>
      <c r="H20" s="61" t="s">
        <v>5</v>
      </c>
      <c r="I20" s="174" t="s">
        <v>71</v>
      </c>
      <c r="J20" s="175"/>
    </row>
    <row r="21" spans="1:10" ht="14.25" thickTop="1">
      <c r="A21" s="95">
        <v>1</v>
      </c>
      <c r="B21" s="98">
        <v>10</v>
      </c>
      <c r="C21" s="66">
        <f aca="true" t="shared" si="0" ref="C21:C26">C13</f>
        <v>65</v>
      </c>
      <c r="D21" s="66">
        <v>10</v>
      </c>
      <c r="E21" s="66">
        <f>C21*D21</f>
        <v>650</v>
      </c>
      <c r="F21" s="49"/>
      <c r="G21" s="66">
        <f aca="true" t="shared" si="1" ref="G21:G26">D13</f>
        <v>70</v>
      </c>
      <c r="H21" s="66">
        <v>10</v>
      </c>
      <c r="I21" s="66">
        <f>G21*H21</f>
        <v>700</v>
      </c>
      <c r="J21" s="49"/>
    </row>
    <row r="22" spans="1:10" ht="13.5">
      <c r="A22" s="96">
        <v>11</v>
      </c>
      <c r="B22" s="99">
        <v>20</v>
      </c>
      <c r="C22" s="74">
        <f t="shared" si="0"/>
        <v>115</v>
      </c>
      <c r="D22" s="74">
        <v>10</v>
      </c>
      <c r="E22" s="66">
        <f>C22*D22</f>
        <v>1150</v>
      </c>
      <c r="F22" s="83">
        <f>E21</f>
        <v>650</v>
      </c>
      <c r="G22" s="74">
        <f t="shared" si="1"/>
        <v>125</v>
      </c>
      <c r="H22" s="74">
        <v>10</v>
      </c>
      <c r="I22" s="66">
        <f>G22*H22</f>
        <v>1250</v>
      </c>
      <c r="J22" s="83">
        <f>I21</f>
        <v>700</v>
      </c>
    </row>
    <row r="23" spans="1:10" ht="13.5">
      <c r="A23" s="96">
        <v>21</v>
      </c>
      <c r="B23" s="99">
        <v>30</v>
      </c>
      <c r="C23" s="74">
        <f t="shared" si="0"/>
        <v>140</v>
      </c>
      <c r="D23" s="74">
        <v>10</v>
      </c>
      <c r="E23" s="66">
        <f>C23*D23</f>
        <v>1400</v>
      </c>
      <c r="F23" s="83">
        <f>SUM(E21:E22)</f>
        <v>1800</v>
      </c>
      <c r="G23" s="74">
        <f t="shared" si="1"/>
        <v>150</v>
      </c>
      <c r="H23" s="74">
        <v>10</v>
      </c>
      <c r="I23" s="66">
        <f>G23*H23</f>
        <v>1500</v>
      </c>
      <c r="J23" s="83">
        <f>SUM(I21:I22)</f>
        <v>1950</v>
      </c>
    </row>
    <row r="24" spans="1:10" ht="13.5">
      <c r="A24" s="96">
        <v>31</v>
      </c>
      <c r="B24" s="99">
        <v>50</v>
      </c>
      <c r="C24" s="74">
        <f t="shared" si="0"/>
        <v>170</v>
      </c>
      <c r="D24" s="74">
        <v>20</v>
      </c>
      <c r="E24" s="66">
        <f>C24*D24</f>
        <v>3400</v>
      </c>
      <c r="F24" s="83">
        <f>SUM(E21:E23)</f>
        <v>3200</v>
      </c>
      <c r="G24" s="74">
        <f t="shared" si="1"/>
        <v>180</v>
      </c>
      <c r="H24" s="74">
        <v>20</v>
      </c>
      <c r="I24" s="66">
        <f>G24*H24</f>
        <v>3600</v>
      </c>
      <c r="J24" s="83">
        <f>SUM(I21:I23)</f>
        <v>3450</v>
      </c>
    </row>
    <row r="25" spans="1:10" ht="13.5">
      <c r="A25" s="96">
        <v>51</v>
      </c>
      <c r="B25" s="99">
        <v>100</v>
      </c>
      <c r="C25" s="74">
        <f t="shared" si="0"/>
        <v>205</v>
      </c>
      <c r="D25" s="74">
        <v>50</v>
      </c>
      <c r="E25" s="66">
        <f>C25*D25</f>
        <v>10250</v>
      </c>
      <c r="F25" s="83">
        <f>SUM(E21:E24)</f>
        <v>6600</v>
      </c>
      <c r="G25" s="74">
        <f t="shared" si="1"/>
        <v>220</v>
      </c>
      <c r="H25" s="74">
        <v>50</v>
      </c>
      <c r="I25" s="66">
        <f>G25*H25</f>
        <v>11000</v>
      </c>
      <c r="J25" s="83">
        <f>SUM(I21:I24)</f>
        <v>7050</v>
      </c>
    </row>
    <row r="26" spans="1:10" ht="14.25" thickBot="1">
      <c r="A26" s="97">
        <v>101</v>
      </c>
      <c r="B26" s="100"/>
      <c r="C26" s="77">
        <f t="shared" si="0"/>
        <v>230</v>
      </c>
      <c r="D26" s="77"/>
      <c r="E26" s="84"/>
      <c r="F26" s="85">
        <f>SUM(E21:E25)</f>
        <v>16850</v>
      </c>
      <c r="G26" s="77">
        <f t="shared" si="1"/>
        <v>245</v>
      </c>
      <c r="H26" s="77"/>
      <c r="I26" s="84"/>
      <c r="J26" s="85">
        <f>SUM(I21:I25)</f>
        <v>18050</v>
      </c>
    </row>
    <row r="27" spans="1:4" ht="14.25" thickBot="1">
      <c r="A27" s="178" t="s">
        <v>73</v>
      </c>
      <c r="B27" s="178"/>
      <c r="C27" s="178"/>
      <c r="D27" s="178"/>
    </row>
    <row r="28" spans="1:10" s="35" customFormat="1" ht="14.25" thickBot="1">
      <c r="A28" s="179" t="s">
        <v>52</v>
      </c>
      <c r="B28" s="180"/>
      <c r="C28" s="61" t="s">
        <v>70</v>
      </c>
      <c r="D28" s="61" t="s">
        <v>5</v>
      </c>
      <c r="E28" s="174" t="s">
        <v>71</v>
      </c>
      <c r="F28" s="175"/>
      <c r="G28" s="61" t="s">
        <v>72</v>
      </c>
      <c r="H28" s="61" t="s">
        <v>5</v>
      </c>
      <c r="I28" s="174" t="s">
        <v>71</v>
      </c>
      <c r="J28" s="175"/>
    </row>
    <row r="29" spans="1:10" ht="14.25" thickTop="1">
      <c r="A29" s="95">
        <v>1</v>
      </c>
      <c r="B29" s="98">
        <v>20</v>
      </c>
      <c r="C29" s="66">
        <f aca="true" t="shared" si="2" ref="C29:C34">C13</f>
        <v>65</v>
      </c>
      <c r="D29" s="66">
        <v>20</v>
      </c>
      <c r="E29" s="66">
        <f>C29*D29</f>
        <v>1300</v>
      </c>
      <c r="F29" s="49"/>
      <c r="G29" s="66">
        <f aca="true" t="shared" si="3" ref="G29:G34">D13</f>
        <v>70</v>
      </c>
      <c r="H29" s="66">
        <v>20</v>
      </c>
      <c r="I29" s="66">
        <f>G29*H29</f>
        <v>1400</v>
      </c>
      <c r="J29" s="49"/>
    </row>
    <row r="30" spans="1:10" ht="13.5">
      <c r="A30" s="96">
        <v>21</v>
      </c>
      <c r="B30" s="99">
        <v>40</v>
      </c>
      <c r="C30" s="74">
        <f t="shared" si="2"/>
        <v>115</v>
      </c>
      <c r="D30" s="74">
        <v>20</v>
      </c>
      <c r="E30" s="66">
        <f>C30*D30</f>
        <v>2300</v>
      </c>
      <c r="F30" s="83">
        <f>E29</f>
        <v>1300</v>
      </c>
      <c r="G30" s="74">
        <f t="shared" si="3"/>
        <v>125</v>
      </c>
      <c r="H30" s="74">
        <v>20</v>
      </c>
      <c r="I30" s="66">
        <f>G30*H30</f>
        <v>2500</v>
      </c>
      <c r="J30" s="83">
        <f>I29</f>
        <v>1400</v>
      </c>
    </row>
    <row r="31" spans="1:10" ht="13.5">
      <c r="A31" s="96">
        <v>41</v>
      </c>
      <c r="B31" s="99">
        <v>60</v>
      </c>
      <c r="C31" s="74">
        <f t="shared" si="2"/>
        <v>140</v>
      </c>
      <c r="D31" s="74">
        <v>20</v>
      </c>
      <c r="E31" s="66">
        <f>C31*D31</f>
        <v>2800</v>
      </c>
      <c r="F31" s="83">
        <f>SUM(E29:E30)</f>
        <v>3600</v>
      </c>
      <c r="G31" s="74">
        <f t="shared" si="3"/>
        <v>150</v>
      </c>
      <c r="H31" s="74">
        <v>20</v>
      </c>
      <c r="I31" s="66">
        <f>G31*H31</f>
        <v>3000</v>
      </c>
      <c r="J31" s="83">
        <f>SUM(I29:I30)</f>
        <v>3900</v>
      </c>
    </row>
    <row r="32" spans="1:10" ht="13.5">
      <c r="A32" s="96">
        <v>61</v>
      </c>
      <c r="B32" s="99">
        <v>100</v>
      </c>
      <c r="C32" s="74">
        <f t="shared" si="2"/>
        <v>170</v>
      </c>
      <c r="D32" s="74">
        <v>40</v>
      </c>
      <c r="E32" s="66">
        <f>C32*D32</f>
        <v>6800</v>
      </c>
      <c r="F32" s="83">
        <f>SUM(E29:E31)</f>
        <v>6400</v>
      </c>
      <c r="G32" s="74">
        <f t="shared" si="3"/>
        <v>180</v>
      </c>
      <c r="H32" s="74">
        <v>40</v>
      </c>
      <c r="I32" s="66">
        <f>G32*H32</f>
        <v>7200</v>
      </c>
      <c r="J32" s="83">
        <f>SUM(I29:I31)</f>
        <v>6900</v>
      </c>
    </row>
    <row r="33" spans="1:10" ht="13.5">
      <c r="A33" s="96">
        <v>101</v>
      </c>
      <c r="B33" s="99">
        <v>200</v>
      </c>
      <c r="C33" s="74">
        <f t="shared" si="2"/>
        <v>205</v>
      </c>
      <c r="D33" s="74">
        <v>100</v>
      </c>
      <c r="E33" s="66">
        <f>C33*D33</f>
        <v>20500</v>
      </c>
      <c r="F33" s="83">
        <f>SUM(E29:E32)</f>
        <v>13200</v>
      </c>
      <c r="G33" s="74">
        <f t="shared" si="3"/>
        <v>220</v>
      </c>
      <c r="H33" s="74">
        <v>100</v>
      </c>
      <c r="I33" s="66">
        <f>G33*H33</f>
        <v>22000</v>
      </c>
      <c r="J33" s="83">
        <f>SUM(I29:I32)</f>
        <v>14100</v>
      </c>
    </row>
    <row r="34" spans="1:10" ht="14.25" thickBot="1">
      <c r="A34" s="97">
        <v>201</v>
      </c>
      <c r="B34" s="100"/>
      <c r="C34" s="77">
        <f t="shared" si="2"/>
        <v>230</v>
      </c>
      <c r="D34" s="77"/>
      <c r="E34" s="84"/>
      <c r="F34" s="85">
        <f>SUM(E29:E33)</f>
        <v>33700</v>
      </c>
      <c r="G34" s="77">
        <f t="shared" si="3"/>
        <v>245</v>
      </c>
      <c r="H34" s="77"/>
      <c r="I34" s="84"/>
      <c r="J34" s="85">
        <f>SUM(I29:I33)</f>
        <v>36100</v>
      </c>
    </row>
    <row r="35" spans="1:12" ht="13.5">
      <c r="A35" s="176" t="s">
        <v>74</v>
      </c>
      <c r="B35" s="176"/>
      <c r="C35" s="176"/>
      <c r="D35" s="176"/>
      <c r="E35" s="88"/>
      <c r="F35" s="88"/>
      <c r="G35" s="89"/>
      <c r="H35" s="89"/>
      <c r="I35" s="88"/>
      <c r="J35" s="88"/>
      <c r="K35" s="88"/>
      <c r="L35" s="88"/>
    </row>
    <row r="36" spans="1:4" ht="14.25" thickBot="1">
      <c r="A36" s="177"/>
      <c r="B36" s="177"/>
      <c r="C36" s="177"/>
      <c r="D36" s="185"/>
    </row>
    <row r="37" spans="1:4" s="35" customFormat="1" ht="14.25" thickBot="1">
      <c r="A37" s="43" t="s">
        <v>3</v>
      </c>
      <c r="B37" s="61" t="s">
        <v>53</v>
      </c>
      <c r="C37" s="44" t="s">
        <v>54</v>
      </c>
      <c r="D37" s="93"/>
    </row>
    <row r="38" spans="1:4" ht="14.25" thickTop="1">
      <c r="A38" s="64" t="s">
        <v>75</v>
      </c>
      <c r="B38" s="66">
        <v>500</v>
      </c>
      <c r="C38" s="49">
        <v>600</v>
      </c>
      <c r="D38" s="94"/>
    </row>
    <row r="39" spans="1:5" ht="14.25" thickBot="1">
      <c r="A39" s="75" t="s">
        <v>76</v>
      </c>
      <c r="B39" s="77">
        <v>1000</v>
      </c>
      <c r="C39" s="59">
        <v>1200</v>
      </c>
      <c r="D39" s="94"/>
      <c r="E39" s="88"/>
    </row>
    <row r="40" spans="1:6" ht="14.25" thickBot="1">
      <c r="A40" s="181" t="s">
        <v>77</v>
      </c>
      <c r="B40" s="181"/>
      <c r="C40" s="181"/>
      <c r="D40" s="178"/>
      <c r="E40" s="90"/>
      <c r="F40" s="88"/>
    </row>
    <row r="41" spans="1:10" s="35" customFormat="1" ht="14.25" thickBot="1">
      <c r="A41" s="43" t="s">
        <v>51</v>
      </c>
      <c r="B41" s="44" t="s">
        <v>52</v>
      </c>
      <c r="C41" s="61" t="s">
        <v>53</v>
      </c>
      <c r="D41" s="42" t="s">
        <v>54</v>
      </c>
      <c r="E41" s="182" t="s">
        <v>55</v>
      </c>
      <c r="F41" s="183"/>
      <c r="G41" s="62" t="s">
        <v>5</v>
      </c>
      <c r="H41" s="184" t="s">
        <v>56</v>
      </c>
      <c r="I41" s="183"/>
      <c r="J41" s="63" t="s">
        <v>5</v>
      </c>
    </row>
    <row r="42" spans="1:10" ht="14.25" thickTop="1">
      <c r="A42" s="64" t="s">
        <v>57</v>
      </c>
      <c r="B42" s="65" t="s">
        <v>58</v>
      </c>
      <c r="C42" s="66">
        <v>60</v>
      </c>
      <c r="D42" s="47">
        <v>70</v>
      </c>
      <c r="E42" s="67">
        <v>1</v>
      </c>
      <c r="F42" s="68">
        <v>10</v>
      </c>
      <c r="G42" s="69">
        <f>F42-E42+1</f>
        <v>10</v>
      </c>
      <c r="H42" s="70">
        <v>1</v>
      </c>
      <c r="I42" s="68">
        <f>F42*2</f>
        <v>20</v>
      </c>
      <c r="J42" s="71">
        <f>I42-H42+1</f>
        <v>20</v>
      </c>
    </row>
    <row r="43" spans="1:10" ht="13.5">
      <c r="A43" s="72" t="s">
        <v>59</v>
      </c>
      <c r="B43" s="73" t="s">
        <v>60</v>
      </c>
      <c r="C43" s="74">
        <v>80</v>
      </c>
      <c r="D43" s="52">
        <v>90</v>
      </c>
      <c r="E43" s="67">
        <v>11</v>
      </c>
      <c r="F43" s="68">
        <v>20</v>
      </c>
      <c r="G43" s="69">
        <f>F43-E43+1</f>
        <v>10</v>
      </c>
      <c r="H43" s="70">
        <f>(E43-1)*2</f>
        <v>20</v>
      </c>
      <c r="I43" s="68">
        <f>F43*2</f>
        <v>40</v>
      </c>
      <c r="J43" s="71">
        <f>I43-H43</f>
        <v>20</v>
      </c>
    </row>
    <row r="44" spans="1:10" ht="13.5">
      <c r="A44" s="72" t="s">
        <v>78</v>
      </c>
      <c r="B44" s="73" t="s">
        <v>79</v>
      </c>
      <c r="C44" s="74">
        <v>100</v>
      </c>
      <c r="D44" s="52">
        <v>120</v>
      </c>
      <c r="E44" s="67">
        <v>21</v>
      </c>
      <c r="F44" s="68">
        <v>50</v>
      </c>
      <c r="G44" s="69">
        <f>F44-E44+1</f>
        <v>30</v>
      </c>
      <c r="H44" s="70">
        <f>(E44-1)*2</f>
        <v>40</v>
      </c>
      <c r="I44" s="68">
        <f>F44*2</f>
        <v>100</v>
      </c>
      <c r="J44" s="71">
        <f>I44-H44</f>
        <v>60</v>
      </c>
    </row>
    <row r="45" spans="1:10" ht="14.25" thickBot="1">
      <c r="A45" s="75" t="s">
        <v>80</v>
      </c>
      <c r="B45" s="76" t="s">
        <v>67</v>
      </c>
      <c r="C45" s="77">
        <v>125</v>
      </c>
      <c r="D45" s="57">
        <v>150</v>
      </c>
      <c r="E45" s="78">
        <v>51</v>
      </c>
      <c r="F45" s="79"/>
      <c r="G45" s="80"/>
      <c r="H45" s="81">
        <f>(E45-1)*2</f>
        <v>100</v>
      </c>
      <c r="I45" s="79"/>
      <c r="J45" s="82"/>
    </row>
    <row r="46" spans="1:4" ht="14.25" thickBot="1">
      <c r="A46" s="181" t="s">
        <v>69</v>
      </c>
      <c r="B46" s="181"/>
      <c r="C46" s="181"/>
      <c r="D46" s="181"/>
    </row>
    <row r="47" spans="1:10" s="35" customFormat="1" ht="14.25" thickBot="1">
      <c r="A47" s="179" t="s">
        <v>51</v>
      </c>
      <c r="B47" s="180"/>
      <c r="C47" s="61" t="s">
        <v>70</v>
      </c>
      <c r="D47" s="61" t="s">
        <v>5</v>
      </c>
      <c r="E47" s="174" t="s">
        <v>71</v>
      </c>
      <c r="F47" s="175"/>
      <c r="G47" s="61" t="s">
        <v>72</v>
      </c>
      <c r="H47" s="61" t="s">
        <v>5</v>
      </c>
      <c r="I47" s="174" t="s">
        <v>71</v>
      </c>
      <c r="J47" s="175"/>
    </row>
    <row r="48" spans="1:10" ht="14.25" thickTop="1">
      <c r="A48" s="101">
        <v>1</v>
      </c>
      <c r="B48" s="98">
        <v>10</v>
      </c>
      <c r="C48" s="66">
        <f>C42</f>
        <v>60</v>
      </c>
      <c r="D48" s="66">
        <v>10</v>
      </c>
      <c r="E48" s="66">
        <f>C48*D48</f>
        <v>600</v>
      </c>
      <c r="F48" s="49"/>
      <c r="G48" s="66">
        <f>D42</f>
        <v>70</v>
      </c>
      <c r="H48" s="66">
        <v>10</v>
      </c>
      <c r="I48" s="66">
        <f>G48*H48</f>
        <v>700</v>
      </c>
      <c r="J48" s="49"/>
    </row>
    <row r="49" spans="1:10" ht="13.5">
      <c r="A49" s="102">
        <v>11</v>
      </c>
      <c r="B49" s="99">
        <v>20</v>
      </c>
      <c r="C49" s="74">
        <f>C43</f>
        <v>80</v>
      </c>
      <c r="D49" s="74">
        <v>10</v>
      </c>
      <c r="E49" s="66">
        <f>C49*D49</f>
        <v>800</v>
      </c>
      <c r="F49" s="83">
        <f>SUM(E48)</f>
        <v>600</v>
      </c>
      <c r="G49" s="74">
        <f>D43</f>
        <v>90</v>
      </c>
      <c r="H49" s="74">
        <v>10</v>
      </c>
      <c r="I49" s="66">
        <f>G49*H49</f>
        <v>900</v>
      </c>
      <c r="J49" s="83">
        <f>SUM(I48)</f>
        <v>700</v>
      </c>
    </row>
    <row r="50" spans="1:10" ht="13.5">
      <c r="A50" s="102">
        <v>21</v>
      </c>
      <c r="B50" s="99">
        <v>50</v>
      </c>
      <c r="C50" s="74">
        <f>C44</f>
        <v>100</v>
      </c>
      <c r="D50" s="74">
        <v>30</v>
      </c>
      <c r="E50" s="66">
        <f>C50*D50</f>
        <v>3000</v>
      </c>
      <c r="F50" s="83">
        <f>SUM(E48:E49)</f>
        <v>1400</v>
      </c>
      <c r="G50" s="74">
        <f>D44</f>
        <v>120</v>
      </c>
      <c r="H50" s="74">
        <v>30</v>
      </c>
      <c r="I50" s="66">
        <f>G50*H50</f>
        <v>3600</v>
      </c>
      <c r="J50" s="83">
        <f>SUM(I48:I49)</f>
        <v>1600</v>
      </c>
    </row>
    <row r="51" spans="1:10" ht="14.25" thickBot="1">
      <c r="A51" s="103">
        <v>51</v>
      </c>
      <c r="B51" s="100"/>
      <c r="C51" s="77">
        <f>C45</f>
        <v>125</v>
      </c>
      <c r="D51" s="77"/>
      <c r="E51" s="84"/>
      <c r="F51" s="85">
        <f>SUM(E48:E50)</f>
        <v>4400</v>
      </c>
      <c r="G51" s="77">
        <f>D45</f>
        <v>150</v>
      </c>
      <c r="H51" s="77"/>
      <c r="I51" s="84"/>
      <c r="J51" s="85">
        <f>SUM(I48:I50)</f>
        <v>5200</v>
      </c>
    </row>
    <row r="52" spans="1:4" ht="14.25" thickBot="1">
      <c r="A52" s="178" t="s">
        <v>73</v>
      </c>
      <c r="B52" s="178"/>
      <c r="C52" s="178"/>
      <c r="D52" s="178"/>
    </row>
    <row r="53" spans="1:10" s="35" customFormat="1" ht="14.25" thickBot="1">
      <c r="A53" s="179" t="s">
        <v>52</v>
      </c>
      <c r="B53" s="180"/>
      <c r="C53" s="61" t="s">
        <v>70</v>
      </c>
      <c r="D53" s="61" t="s">
        <v>5</v>
      </c>
      <c r="E53" s="174" t="s">
        <v>71</v>
      </c>
      <c r="F53" s="175"/>
      <c r="G53" s="61" t="s">
        <v>72</v>
      </c>
      <c r="H53" s="61" t="s">
        <v>5</v>
      </c>
      <c r="I53" s="174" t="s">
        <v>71</v>
      </c>
      <c r="J53" s="175"/>
    </row>
    <row r="54" spans="1:10" ht="14.25" thickTop="1">
      <c r="A54" s="101">
        <v>1</v>
      </c>
      <c r="B54" s="98">
        <v>20</v>
      </c>
      <c r="C54" s="66">
        <f>C42</f>
        <v>60</v>
      </c>
      <c r="D54" s="66">
        <v>20</v>
      </c>
      <c r="E54" s="66">
        <f>C54*D54</f>
        <v>1200</v>
      </c>
      <c r="F54" s="49"/>
      <c r="G54" s="66">
        <f>D42</f>
        <v>70</v>
      </c>
      <c r="H54" s="66">
        <v>20</v>
      </c>
      <c r="I54" s="66">
        <f>G54*H54</f>
        <v>1400</v>
      </c>
      <c r="J54" s="49"/>
    </row>
    <row r="55" spans="1:10" ht="13.5">
      <c r="A55" s="102">
        <v>21</v>
      </c>
      <c r="B55" s="99">
        <v>40</v>
      </c>
      <c r="C55" s="74">
        <f>C43</f>
        <v>80</v>
      </c>
      <c r="D55" s="74">
        <v>20</v>
      </c>
      <c r="E55" s="66">
        <f>C55*D55</f>
        <v>1600</v>
      </c>
      <c r="F55" s="83">
        <f>SUM(E54)</f>
        <v>1200</v>
      </c>
      <c r="G55" s="74">
        <f>D43</f>
        <v>90</v>
      </c>
      <c r="H55" s="74">
        <v>20</v>
      </c>
      <c r="I55" s="66">
        <f>G55*H55</f>
        <v>1800</v>
      </c>
      <c r="J55" s="83">
        <f>SUM(I54)</f>
        <v>1400</v>
      </c>
    </row>
    <row r="56" spans="1:10" ht="13.5">
      <c r="A56" s="102">
        <v>41</v>
      </c>
      <c r="B56" s="99">
        <v>100</v>
      </c>
      <c r="C56" s="74">
        <f>C44</f>
        <v>100</v>
      </c>
      <c r="D56" s="74">
        <v>60</v>
      </c>
      <c r="E56" s="66">
        <f>C56*D56</f>
        <v>6000</v>
      </c>
      <c r="F56" s="83">
        <f>SUM(E54:E55)</f>
        <v>2800</v>
      </c>
      <c r="G56" s="74">
        <f>D44</f>
        <v>120</v>
      </c>
      <c r="H56" s="74">
        <v>60</v>
      </c>
      <c r="I56" s="66">
        <f>G56*H56</f>
        <v>7200</v>
      </c>
      <c r="J56" s="83">
        <f>SUM(I54:I55)</f>
        <v>3200</v>
      </c>
    </row>
    <row r="57" spans="1:10" ht="14.25" thickBot="1">
      <c r="A57" s="103">
        <v>101</v>
      </c>
      <c r="B57" s="100"/>
      <c r="C57" s="77">
        <f>C45</f>
        <v>125</v>
      </c>
      <c r="D57" s="77"/>
      <c r="E57" s="84"/>
      <c r="F57" s="85">
        <f>SUM(E54:E56)</f>
        <v>8800</v>
      </c>
      <c r="G57" s="77">
        <f>D45</f>
        <v>150</v>
      </c>
      <c r="H57" s="77"/>
      <c r="I57" s="84"/>
      <c r="J57" s="85">
        <f>SUM(I54:I56)</f>
        <v>10400</v>
      </c>
    </row>
  </sheetData>
  <sheetProtection/>
  <mergeCells count="25">
    <mergeCell ref="A19:D19"/>
    <mergeCell ref="E20:F20"/>
    <mergeCell ref="I20:J20"/>
    <mergeCell ref="H12:I12"/>
    <mergeCell ref="A20:B20"/>
    <mergeCell ref="C1:I1"/>
    <mergeCell ref="A2:D2"/>
    <mergeCell ref="A11:D11"/>
    <mergeCell ref="E12:F12"/>
    <mergeCell ref="A40:D40"/>
    <mergeCell ref="E41:F41"/>
    <mergeCell ref="H41:I41"/>
    <mergeCell ref="A46:D46"/>
    <mergeCell ref="A27:D27"/>
    <mergeCell ref="E28:F28"/>
    <mergeCell ref="I28:J28"/>
    <mergeCell ref="A35:D36"/>
    <mergeCell ref="A28:B28"/>
    <mergeCell ref="E47:F47"/>
    <mergeCell ref="I47:J47"/>
    <mergeCell ref="A52:D52"/>
    <mergeCell ref="E53:F53"/>
    <mergeCell ref="I53:J53"/>
    <mergeCell ref="A53:B53"/>
    <mergeCell ref="A47:B4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稲垣 正宏</dc:creator>
  <cp:keywords/>
  <dc:description/>
  <cp:lastModifiedBy>松平康介</cp:lastModifiedBy>
  <cp:lastPrinted>2013-07-09T07:05:54Z</cp:lastPrinted>
  <dcterms:created xsi:type="dcterms:W3CDTF">2001-04-18T09:06:28Z</dcterms:created>
  <dcterms:modified xsi:type="dcterms:W3CDTF">2020-10-01T02:24:21Z</dcterms:modified>
  <cp:category/>
  <cp:version/>
  <cp:contentType/>
  <cp:contentStatus/>
</cp:coreProperties>
</file>